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asilyeva\рабочий стол\2020-2022г. проект бюджета\"/>
    </mc:Choice>
  </mc:AlternateContent>
  <bookViews>
    <workbookView xWindow="360" yWindow="270" windowWidth="14940" windowHeight="9150" activeTab="3"/>
  </bookViews>
  <sheets>
    <sheet name="на 01.01.2019г. " sheetId="5" r:id="rId1"/>
    <sheet name="на 01.10.2019г. " sheetId="6" r:id="rId2"/>
    <sheet name="оценка 2019г." sheetId="1" r:id="rId3"/>
    <sheet name="реестр 2020-2022гг. " sheetId="4" r:id="rId4"/>
  </sheets>
  <definedNames>
    <definedName name="LAST_CELL" localSheetId="0">'на 01.01.2019г. '!$J$356</definedName>
    <definedName name="LAST_CELL" localSheetId="1">'на 01.10.2019г. '!$J$356</definedName>
    <definedName name="LAST_CELL" localSheetId="2">'оценка 2019г.'!$J$356</definedName>
    <definedName name="LAST_CELL" localSheetId="3">'реестр 2020-2022гг. '!#REF!</definedName>
    <definedName name="_xlnm.Print_Titles" localSheetId="3">'реестр 2020-2022гг. '!$2:$3</definedName>
    <definedName name="_xlnm.Print_Area" localSheetId="3">'реестр 2020-2022гг. '!$A$1:$L$307</definedName>
  </definedNames>
  <calcPr calcId="152511"/>
</workbook>
</file>

<file path=xl/calcChain.xml><?xml version="1.0" encoding="utf-8"?>
<calcChain xmlns="http://schemas.openxmlformats.org/spreadsheetml/2006/main">
  <c r="I305" i="4" l="1"/>
  <c r="H154" i="4"/>
  <c r="I154" i="4"/>
  <c r="J154" i="4"/>
  <c r="K154" i="4"/>
  <c r="L154" i="4"/>
  <c r="G154" i="4"/>
  <c r="L155" i="4"/>
  <c r="K155" i="4"/>
  <c r="J155" i="4"/>
  <c r="Q23" i="4" l="1"/>
  <c r="Q25" i="4"/>
  <c r="P25" i="4"/>
  <c r="O25" i="4"/>
  <c r="N25" i="4"/>
  <c r="N24" i="4"/>
  <c r="O23" i="4"/>
  <c r="Q24" i="4"/>
  <c r="P24" i="4"/>
  <c r="O24" i="4"/>
  <c r="N23" i="4"/>
  <c r="Q5" i="4" l="1"/>
  <c r="Q91" i="4"/>
  <c r="P145" i="4"/>
  <c r="I79" i="4"/>
  <c r="J79" i="4"/>
  <c r="J280" i="4"/>
  <c r="Q267" i="4"/>
  <c r="N267" i="4"/>
  <c r="O267" i="4"/>
  <c r="P267" i="4"/>
  <c r="M267" i="4"/>
  <c r="H275" i="4"/>
  <c r="I275" i="4"/>
  <c r="J275" i="4"/>
  <c r="K275" i="4"/>
  <c r="L275" i="4"/>
  <c r="G275" i="4"/>
  <c r="L263" i="4"/>
  <c r="K263" i="4"/>
  <c r="J263" i="4"/>
  <c r="L262" i="4"/>
  <c r="K262" i="4"/>
  <c r="J262" i="4"/>
  <c r="H254" i="4"/>
  <c r="I254" i="4"/>
  <c r="J254" i="4"/>
  <c r="K254" i="4"/>
  <c r="L254" i="4"/>
  <c r="G254" i="4"/>
  <c r="J253" i="4"/>
  <c r="H165" i="4" l="1"/>
  <c r="I165" i="4"/>
  <c r="G165" i="4"/>
  <c r="H162" i="4"/>
  <c r="I162" i="4"/>
  <c r="G162" i="4"/>
  <c r="G159" i="4"/>
  <c r="H159" i="4"/>
  <c r="I159" i="4"/>
  <c r="K159" i="4"/>
  <c r="L159" i="4"/>
  <c r="J159" i="4"/>
  <c r="K162" i="4"/>
  <c r="L162" i="4"/>
  <c r="J162" i="4"/>
  <c r="K165" i="4"/>
  <c r="L165" i="4"/>
  <c r="J165" i="4"/>
  <c r="J269" i="4" l="1"/>
  <c r="K269" i="4"/>
  <c r="L269" i="4"/>
  <c r="I269" i="4"/>
  <c r="I291" i="4"/>
  <c r="I296" i="4"/>
  <c r="J291" i="4"/>
  <c r="K291" i="4"/>
  <c r="L291" i="4"/>
  <c r="I280" i="4"/>
  <c r="I260" i="4"/>
  <c r="I241" i="4" l="1"/>
  <c r="J220" i="4"/>
  <c r="K220" i="4"/>
  <c r="L220" i="4"/>
  <c r="K285" i="1"/>
  <c r="I220" i="4"/>
  <c r="I213" i="4"/>
  <c r="J209" i="4"/>
  <c r="K209" i="4"/>
  <c r="L209" i="4"/>
  <c r="I209" i="4"/>
  <c r="I205" i="4"/>
  <c r="J194" i="4"/>
  <c r="K194" i="4"/>
  <c r="L194" i="4"/>
  <c r="I194" i="4"/>
  <c r="H188" i="4"/>
  <c r="I188" i="4"/>
  <c r="J188" i="4"/>
  <c r="K188" i="4"/>
  <c r="L188" i="4"/>
  <c r="G188" i="4"/>
  <c r="H182" i="4"/>
  <c r="I182" i="4"/>
  <c r="J182" i="4"/>
  <c r="K182" i="4"/>
  <c r="L182" i="4"/>
  <c r="G182" i="4"/>
  <c r="I151" i="4"/>
  <c r="I142" i="4"/>
  <c r="I132" i="4"/>
  <c r="I130" i="4"/>
  <c r="K186" i="1"/>
  <c r="I97" i="4"/>
  <c r="L140" i="1"/>
  <c r="K334" i="6"/>
  <c r="J324" i="6"/>
  <c r="H324" i="6"/>
  <c r="K323" i="6"/>
  <c r="J323" i="6"/>
  <c r="M317" i="6"/>
  <c r="L317" i="6"/>
  <c r="K317" i="6"/>
  <c r="L308" i="6"/>
  <c r="K298" i="6"/>
  <c r="K189" i="6"/>
  <c r="N143" i="6"/>
  <c r="M143" i="6"/>
  <c r="L143" i="6"/>
  <c r="K143" i="6"/>
  <c r="H10" i="6"/>
  <c r="G10" i="6"/>
  <c r="I72" i="4"/>
  <c r="J72" i="4"/>
  <c r="K72" i="4"/>
  <c r="I61" i="4"/>
  <c r="H286" i="4" l="1"/>
  <c r="I286" i="4"/>
  <c r="J286" i="4"/>
  <c r="K286" i="4"/>
  <c r="L286" i="4"/>
  <c r="G286" i="4"/>
  <c r="H258" i="4"/>
  <c r="I258" i="4"/>
  <c r="J258" i="4"/>
  <c r="K258" i="4"/>
  <c r="L258" i="4"/>
  <c r="G258" i="4"/>
  <c r="H191" i="4"/>
  <c r="I191" i="4"/>
  <c r="J191" i="4"/>
  <c r="K191" i="4"/>
  <c r="L191" i="4"/>
  <c r="G191" i="4"/>
  <c r="H151" i="4"/>
  <c r="J151" i="4"/>
  <c r="K151" i="4"/>
  <c r="L151" i="4"/>
  <c r="G151" i="4"/>
  <c r="H130" i="4"/>
  <c r="H111" i="4"/>
  <c r="I111" i="4"/>
  <c r="J111" i="4"/>
  <c r="K111" i="4"/>
  <c r="L111" i="4"/>
  <c r="G111" i="4"/>
  <c r="G108" i="4"/>
  <c r="I108" i="4"/>
  <c r="J108" i="4"/>
  <c r="K108" i="4"/>
  <c r="L108" i="4"/>
  <c r="H108" i="4"/>
  <c r="H72" i="4"/>
  <c r="H35" i="4"/>
  <c r="H23" i="4"/>
  <c r="K90" i="5"/>
  <c r="H289" i="4"/>
  <c r="I289" i="4"/>
  <c r="J289" i="4"/>
  <c r="K289" i="4"/>
  <c r="L289" i="4"/>
  <c r="G289" i="4"/>
  <c r="H256" i="4"/>
  <c r="I256" i="4"/>
  <c r="J256" i="4"/>
  <c r="K256" i="4"/>
  <c r="L256" i="4"/>
  <c r="G256" i="4"/>
  <c r="G130" i="4"/>
  <c r="M186" i="5"/>
  <c r="G125" i="4"/>
  <c r="H89" i="4"/>
  <c r="I89" i="4"/>
  <c r="J89" i="4"/>
  <c r="K89" i="4"/>
  <c r="L89" i="4"/>
  <c r="G89" i="4"/>
  <c r="G79" i="4"/>
  <c r="H75" i="4"/>
  <c r="I75" i="4"/>
  <c r="J75" i="4"/>
  <c r="K75" i="4"/>
  <c r="L75" i="4"/>
  <c r="G75" i="4"/>
  <c r="H65" i="4"/>
  <c r="I65" i="4"/>
  <c r="J65" i="4"/>
  <c r="K65" i="4"/>
  <c r="L65" i="4"/>
  <c r="G65" i="4"/>
  <c r="L72" i="4"/>
  <c r="G72" i="4"/>
  <c r="H61" i="4"/>
  <c r="J61" i="4"/>
  <c r="K61" i="4"/>
  <c r="L61" i="4"/>
  <c r="G61" i="4"/>
  <c r="H55" i="4"/>
  <c r="J55" i="4"/>
  <c r="K55" i="4"/>
  <c r="L55" i="4"/>
  <c r="G55" i="4"/>
  <c r="H50" i="4"/>
  <c r="I50" i="4"/>
  <c r="J50" i="4"/>
  <c r="K50" i="4"/>
  <c r="L50" i="4"/>
  <c r="G50" i="4"/>
  <c r="H44" i="4"/>
  <c r="I44" i="4"/>
  <c r="J44" i="4"/>
  <c r="K44" i="4"/>
  <c r="L44" i="4"/>
  <c r="G44" i="4"/>
  <c r="I35" i="4"/>
  <c r="J35" i="4"/>
  <c r="K35" i="4"/>
  <c r="L35" i="4"/>
  <c r="G35" i="4"/>
  <c r="I23" i="4"/>
  <c r="J23" i="4"/>
  <c r="K23" i="4"/>
  <c r="L23" i="4"/>
  <c r="G23" i="4"/>
  <c r="H26" i="4"/>
  <c r="I26" i="4"/>
  <c r="J26" i="4"/>
  <c r="K26" i="4"/>
  <c r="L26" i="4"/>
  <c r="G26" i="4"/>
  <c r="H29" i="4"/>
  <c r="I29" i="4"/>
  <c r="J29" i="4"/>
  <c r="K29" i="4"/>
  <c r="L29" i="4"/>
  <c r="G29" i="4"/>
  <c r="H32" i="4"/>
  <c r="I32" i="4"/>
  <c r="J32" i="4"/>
  <c r="K32" i="4"/>
  <c r="L32" i="4"/>
  <c r="G32" i="4"/>
  <c r="J305" i="4" l="1"/>
  <c r="N35" i="4"/>
  <c r="M23" i="4"/>
  <c r="M35" i="4"/>
  <c r="P35" i="4"/>
  <c r="Q35" i="4"/>
  <c r="P23" i="4"/>
  <c r="O35" i="4"/>
  <c r="H20" i="4"/>
  <c r="I20" i="4"/>
  <c r="J20" i="4"/>
  <c r="K20" i="4"/>
  <c r="L20" i="4"/>
  <c r="G20" i="4"/>
  <c r="H15" i="4"/>
  <c r="I15" i="4"/>
  <c r="J15" i="4"/>
  <c r="K15" i="4"/>
  <c r="L15" i="4"/>
  <c r="G15" i="4"/>
  <c r="H10" i="4"/>
  <c r="I10" i="4"/>
  <c r="N5" i="4" s="1"/>
  <c r="J10" i="4"/>
  <c r="K10" i="4"/>
  <c r="L10" i="4"/>
  <c r="G10" i="4"/>
  <c r="H5" i="4"/>
  <c r="J5" i="4"/>
  <c r="K5" i="4"/>
  <c r="L5" i="4"/>
  <c r="G5" i="4"/>
  <c r="L13" i="5"/>
  <c r="M5" i="4" l="1"/>
  <c r="M7" i="4" s="1"/>
  <c r="M6" i="4"/>
  <c r="O5" i="4"/>
  <c r="P5" i="4"/>
  <c r="H413" i="5"/>
  <c r="H411" i="5"/>
  <c r="K385" i="5"/>
  <c r="K377" i="5"/>
  <c r="K376" i="5"/>
  <c r="K375" i="5"/>
  <c r="K374" i="5"/>
  <c r="K373" i="5"/>
  <c r="K372" i="5"/>
  <c r="K371" i="5"/>
  <c r="K370" i="5"/>
  <c r="K369" i="5"/>
  <c r="K363" i="5"/>
  <c r="K362" i="5"/>
  <c r="K361" i="5"/>
  <c r="K360" i="5"/>
  <c r="K359" i="5"/>
  <c r="K358" i="5"/>
  <c r="K357" i="5"/>
  <c r="K356" i="5"/>
  <c r="K355" i="5"/>
  <c r="K354" i="5"/>
  <c r="K353" i="5"/>
  <c r="K352" i="5"/>
  <c r="K343" i="5"/>
  <c r="L336" i="5"/>
  <c r="K336" i="5"/>
  <c r="O329" i="5"/>
  <c r="N329" i="5"/>
  <c r="M329" i="5"/>
  <c r="L329" i="5"/>
  <c r="K328" i="5"/>
  <c r="K316" i="5"/>
  <c r="M208" i="5"/>
  <c r="L208" i="5"/>
  <c r="K208" i="5"/>
  <c r="L186" i="5"/>
  <c r="K186" i="5"/>
  <c r="N143" i="5"/>
  <c r="M143" i="5"/>
  <c r="L143" i="5"/>
  <c r="K142" i="5"/>
  <c r="K58" i="5"/>
  <c r="K13" i="5"/>
  <c r="K11" i="5"/>
  <c r="H8" i="5"/>
  <c r="M9" i="4" l="1"/>
  <c r="O7" i="4"/>
  <c r="P7" i="4"/>
  <c r="Q7" i="4"/>
  <c r="Q6" i="4"/>
  <c r="P6" i="4"/>
  <c r="O6" i="4"/>
  <c r="Q9" i="4"/>
  <c r="P9" i="4"/>
  <c r="O9" i="4"/>
  <c r="M8" i="4"/>
  <c r="G273" i="4"/>
  <c r="G267" i="4"/>
  <c r="G252" i="4"/>
  <c r="G249" i="4"/>
  <c r="G247" i="4"/>
  <c r="G209" i="4"/>
  <c r="G202" i="4"/>
  <c r="G199" i="4"/>
  <c r="G185" i="4"/>
  <c r="G179" i="4"/>
  <c r="G176" i="4"/>
  <c r="G173" i="4"/>
  <c r="G170" i="4"/>
  <c r="G168" i="4"/>
  <c r="G156" i="4"/>
  <c r="G145" i="4"/>
  <c r="G142" i="4"/>
  <c r="G123" i="4"/>
  <c r="G121" i="4"/>
  <c r="G117" i="4"/>
  <c r="G114" i="4"/>
  <c r="G105" i="4"/>
  <c r="G102" i="4"/>
  <c r="G95" i="4"/>
  <c r="G92" i="4"/>
  <c r="G83" i="4"/>
  <c r="Q8" i="4" l="1"/>
  <c r="P8" i="4"/>
  <c r="O8" i="4"/>
  <c r="G305" i="4"/>
  <c r="G309" i="4" s="1"/>
  <c r="I277" i="4"/>
  <c r="J277" i="4"/>
  <c r="K277" i="4"/>
  <c r="L277" i="4"/>
  <c r="H277" i="4"/>
  <c r="I273" i="4"/>
  <c r="J273" i="4"/>
  <c r="K273" i="4"/>
  <c r="L273" i="4"/>
  <c r="H273" i="4"/>
  <c r="I267" i="4"/>
  <c r="J267" i="4"/>
  <c r="K267" i="4"/>
  <c r="L267" i="4"/>
  <c r="H267" i="4"/>
  <c r="J260" i="4"/>
  <c r="K260" i="4"/>
  <c r="L260" i="4"/>
  <c r="H252" i="4"/>
  <c r="M252" i="4" s="1"/>
  <c r="J252" i="4"/>
  <c r="O252" i="4" s="1"/>
  <c r="K252" i="4"/>
  <c r="P252" i="4" s="1"/>
  <c r="L252" i="4"/>
  <c r="Q252" i="4" s="1"/>
  <c r="I252" i="4"/>
  <c r="N252" i="4" s="1"/>
  <c r="H249" i="4"/>
  <c r="I249" i="4"/>
  <c r="K249" i="4"/>
  <c r="L249" i="4"/>
  <c r="J249" i="4"/>
  <c r="I247" i="4"/>
  <c r="J247" i="4"/>
  <c r="K247" i="4"/>
  <c r="L247" i="4"/>
  <c r="H247" i="4"/>
  <c r="J241" i="4"/>
  <c r="K241" i="4"/>
  <c r="L241" i="4"/>
  <c r="J213" i="4"/>
  <c r="K213" i="4"/>
  <c r="L213" i="4"/>
  <c r="I199" i="4"/>
  <c r="K79" i="4" l="1"/>
  <c r="L79" i="4"/>
  <c r="H79" i="4"/>
  <c r="I83" i="4"/>
  <c r="J83" i="4"/>
  <c r="K83" i="4"/>
  <c r="L83" i="4"/>
  <c r="L305" i="4" s="1"/>
  <c r="H83" i="4"/>
  <c r="I92" i="4"/>
  <c r="J92" i="4"/>
  <c r="K92" i="4"/>
  <c r="L92" i="4"/>
  <c r="H92" i="4"/>
  <c r="I95" i="4"/>
  <c r="J95" i="4"/>
  <c r="K95" i="4"/>
  <c r="L95" i="4"/>
  <c r="H95" i="4"/>
  <c r="I102" i="4"/>
  <c r="J102" i="4"/>
  <c r="K102" i="4"/>
  <c r="L102" i="4"/>
  <c r="H102" i="4"/>
  <c r="I105" i="4"/>
  <c r="J105" i="4"/>
  <c r="K105" i="4"/>
  <c r="L105" i="4"/>
  <c r="H105" i="4"/>
  <c r="I114" i="4"/>
  <c r="J114" i="4"/>
  <c r="K114" i="4"/>
  <c r="L114" i="4"/>
  <c r="H114" i="4"/>
  <c r="I117" i="4"/>
  <c r="J117" i="4"/>
  <c r="K117" i="4"/>
  <c r="L117" i="4"/>
  <c r="H117" i="4"/>
  <c r="I121" i="4"/>
  <c r="J121" i="4"/>
  <c r="K121" i="4"/>
  <c r="L121" i="4"/>
  <c r="H121" i="4"/>
  <c r="I123" i="4"/>
  <c r="J123" i="4"/>
  <c r="K123" i="4"/>
  <c r="L123" i="4"/>
  <c r="H123" i="4"/>
  <c r="I125" i="4"/>
  <c r="J125" i="4"/>
  <c r="K125" i="4"/>
  <c r="L125" i="4"/>
  <c r="H125" i="4"/>
  <c r="J142" i="4"/>
  <c r="K142" i="4"/>
  <c r="L142" i="4"/>
  <c r="H142" i="4"/>
  <c r="I145" i="4"/>
  <c r="J145" i="4"/>
  <c r="K145" i="4"/>
  <c r="L145" i="4"/>
  <c r="H145" i="4"/>
  <c r="I156" i="4"/>
  <c r="J156" i="4"/>
  <c r="K156" i="4"/>
  <c r="L156" i="4"/>
  <c r="H156" i="4"/>
  <c r="I168" i="4"/>
  <c r="J168" i="4"/>
  <c r="K168" i="4"/>
  <c r="L168" i="4"/>
  <c r="H168" i="4"/>
  <c r="I170" i="4"/>
  <c r="J170" i="4"/>
  <c r="K170" i="4"/>
  <c r="L170" i="4"/>
  <c r="H170" i="4"/>
  <c r="I173" i="4"/>
  <c r="J173" i="4"/>
  <c r="K173" i="4"/>
  <c r="L173" i="4"/>
  <c r="H173" i="4"/>
  <c r="I179" i="4"/>
  <c r="J179" i="4"/>
  <c r="K179" i="4"/>
  <c r="L179" i="4"/>
  <c r="I176" i="4"/>
  <c r="J176" i="4"/>
  <c r="K176" i="4"/>
  <c r="L176" i="4"/>
  <c r="H179" i="4"/>
  <c r="H176" i="4"/>
  <c r="J205" i="4"/>
  <c r="K205" i="4"/>
  <c r="L205" i="4"/>
  <c r="I202" i="4"/>
  <c r="J202" i="4"/>
  <c r="K202" i="4"/>
  <c r="L202" i="4"/>
  <c r="H202" i="4"/>
  <c r="J199" i="4"/>
  <c r="K199" i="4"/>
  <c r="L199" i="4"/>
  <c r="H199" i="4"/>
  <c r="H185" i="4"/>
  <c r="J185" i="4"/>
  <c r="K185" i="4"/>
  <c r="L185" i="4"/>
  <c r="I185" i="4"/>
  <c r="F180" i="4"/>
  <c r="J147" i="4"/>
  <c r="K147" i="4"/>
  <c r="L147" i="4"/>
  <c r="J97" i="4"/>
  <c r="P117" i="4" l="1"/>
  <c r="K305" i="4"/>
  <c r="Q168" i="4"/>
  <c r="N145" i="4"/>
  <c r="N95" i="4"/>
  <c r="O145" i="4"/>
  <c r="P168" i="4"/>
  <c r="N117" i="4"/>
  <c r="M95" i="4"/>
  <c r="N168" i="4"/>
  <c r="O168" i="4"/>
  <c r="N91" i="4"/>
  <c r="O117" i="4"/>
  <c r="Q142" i="4"/>
  <c r="P142" i="4"/>
  <c r="O142" i="4"/>
  <c r="O91" i="4"/>
  <c r="Q117" i="4"/>
  <c r="H305" i="4"/>
  <c r="H309" i="4" s="1"/>
  <c r="I147" i="4" l="1"/>
  <c r="J128" i="4"/>
  <c r="I128" i="4"/>
  <c r="N128" i="4" s="1"/>
  <c r="I55" i="4"/>
  <c r="O128" i="4" l="1"/>
  <c r="N142" i="4"/>
  <c r="M145" i="4"/>
  <c r="F244" i="4"/>
  <c r="F222" i="4"/>
  <c r="F126" i="4" l="1"/>
  <c r="F125" i="4"/>
  <c r="F305" i="4" l="1"/>
  <c r="I309" i="4" l="1"/>
  <c r="F295" i="4"/>
  <c r="F290" i="4"/>
  <c r="F289" i="4"/>
  <c r="L280" i="4"/>
  <c r="K280" i="4"/>
  <c r="F279" i="4"/>
  <c r="F266" i="4"/>
  <c r="F251" i="4"/>
  <c r="F246" i="4"/>
  <c r="F245" i="4"/>
  <c r="F241" i="4"/>
  <c r="F233" i="4"/>
  <c r="F232" i="4"/>
  <c r="F231" i="4"/>
  <c r="F228" i="4"/>
  <c r="F227" i="4"/>
  <c r="F225" i="4"/>
  <c r="F223" i="4"/>
  <c r="F221" i="4"/>
  <c r="F220" i="4"/>
  <c r="F218" i="4"/>
  <c r="F213" i="4"/>
  <c r="F211" i="4"/>
  <c r="F209" i="4"/>
  <c r="F207" i="4"/>
  <c r="F206" i="4"/>
  <c r="F205" i="4"/>
  <c r="F203" i="4"/>
  <c r="F202" i="4"/>
  <c r="F200" i="4"/>
  <c r="F199" i="4"/>
  <c r="F197" i="4"/>
  <c r="F195" i="4"/>
  <c r="F194" i="4"/>
  <c r="F189" i="4"/>
  <c r="F188" i="4"/>
  <c r="F186" i="4"/>
  <c r="F185" i="4"/>
  <c r="F182" i="4"/>
  <c r="F177" i="4"/>
  <c r="F176" i="4"/>
  <c r="F174" i="4"/>
  <c r="F173" i="4"/>
  <c r="F171" i="4"/>
  <c r="F170" i="4"/>
  <c r="F169" i="4"/>
  <c r="F168" i="4"/>
  <c r="F149" i="4"/>
  <c r="F148" i="4"/>
  <c r="F147" i="4"/>
  <c r="F135" i="4"/>
  <c r="F134" i="4"/>
  <c r="F132" i="4"/>
  <c r="F130" i="4"/>
  <c r="F129" i="4"/>
  <c r="L128" i="4"/>
  <c r="Q128" i="4" s="1"/>
  <c r="K128" i="4"/>
  <c r="P128" i="4" s="1"/>
  <c r="F128" i="4"/>
  <c r="F124" i="4"/>
  <c r="F123" i="4"/>
  <c r="F122" i="4"/>
  <c r="F121" i="4"/>
  <c r="F120" i="4"/>
  <c r="F119" i="4"/>
  <c r="F118" i="4"/>
  <c r="F117" i="4"/>
  <c r="F115" i="4"/>
  <c r="F114" i="4"/>
  <c r="F106" i="4"/>
  <c r="F105" i="4"/>
  <c r="F100" i="4"/>
  <c r="F99" i="4"/>
  <c r="F98" i="4"/>
  <c r="L97" i="4"/>
  <c r="K97" i="4"/>
  <c r="F97" i="4"/>
  <c r="F93" i="4"/>
  <c r="F92" i="4"/>
  <c r="F90" i="4"/>
  <c r="F88" i="4"/>
  <c r="F86" i="4"/>
  <c r="F84" i="4"/>
  <c r="F83" i="4"/>
  <c r="F80" i="4"/>
  <c r="F79" i="4"/>
  <c r="P95" i="4" l="1"/>
  <c r="L309" i="4"/>
  <c r="K309" i="4"/>
  <c r="O95" i="4"/>
  <c r="P91" i="4"/>
  <c r="J309" i="4"/>
  <c r="F308" i="4"/>
  <c r="F309" i="4" s="1"/>
</calcChain>
</file>

<file path=xl/sharedStrings.xml><?xml version="1.0" encoding="utf-8"?>
<sst xmlns="http://schemas.openxmlformats.org/spreadsheetml/2006/main" count="4442" uniqueCount="1112">
  <si>
    <t>(наименование органа, исполняющего бюджет)</t>
  </si>
  <si>
    <t>АНАЛИЗ ДОХОДОВ БЮДЖЕТА</t>
  </si>
  <si>
    <t>Финансовое управление администрации Тайшетского района</t>
  </si>
  <si>
    <t>Дата печати:</t>
  </si>
  <si>
    <t>КВФО (доходы):</t>
  </si>
  <si>
    <t>Деятельность, осуществляемая за счет средств соответствующего бюджета бюджетной системы Российской Федерации (бюджетная деятельность)</t>
  </si>
  <si>
    <t>Наименование</t>
  </si>
  <si>
    <t>КД</t>
  </si>
  <si>
    <t>Доп.КД</t>
  </si>
  <si>
    <t>КВФО</t>
  </si>
  <si>
    <t>Утвержденный план на год</t>
  </si>
  <si>
    <t>Уточненный план на год</t>
  </si>
  <si>
    <t>% поступлений к утвержденному плану</t>
  </si>
  <si>
    <t>на год</t>
  </si>
  <si>
    <t>% поступлений к уточненному плану</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</si>
  <si>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</si>
  <si>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</si>
  <si>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</si>
  <si>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</si>
  <si>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</si>
  <si>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</si>
  <si>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00010102010010000110</t>
  </si>
  <si>
    <t>18210102010010000110</t>
  </si>
  <si>
    <t>0000</t>
  </si>
  <si>
    <t>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</si>
  <si>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</si>
  <si>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00010102010011000110</t>
  </si>
  <si>
    <t>18210102010011000110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</si>
  <si>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</si>
  <si>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00010102010012100110</t>
  </si>
  <si>
    <t>18210102010012100110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</si>
  <si>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</si>
  <si>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00010102010013000110</t>
  </si>
  <si>
    <t>18210102010013000110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</si>
  <si>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</si>
  <si>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00010102010014000110</t>
  </si>
  <si>
    <t>18210102010014000110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</si>
  <si>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</si>
  <si>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</si>
  <si>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</si>
  <si>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</si>
  <si>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00010102020011000110</t>
  </si>
  <si>
    <t>18210102020011000110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</si>
  <si>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</si>
  <si>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00010102020012100110</t>
  </si>
  <si>
    <t>18210102020012100110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</si>
  <si>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</si>
  <si>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00010102020013000110</t>
  </si>
  <si>
    <t>18210102020013000110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</si>
  <si>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</si>
  <si>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</si>
  <si>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</si>
  <si>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18210102030010000110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</si>
  <si>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</si>
  <si>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00010102030011000110</t>
  </si>
  <si>
    <t>18210102030011000110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</si>
  <si>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</si>
  <si>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00010102030012100110</t>
  </si>
  <si>
    <t>18210102030012100110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</si>
  <si>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</si>
  <si>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00010102030013000110</t>
  </si>
  <si>
    <t>18210102030013000110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</si>
  <si>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</si>
  <si>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00010102030014000110</t>
  </si>
  <si>
    <t>18210102030014000110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</si>
  <si>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</si>
  <si>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</si>
  <si>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18210102040010000110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</si>
  <si>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</si>
  <si>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00010102040011000110</t>
  </si>
  <si>
    <t>18210102040011000110</t>
  </si>
  <si>
    <t>НАЛОГИ НА СОВОКУПНЫЙ ДОХОД</t>
  </si>
  <si>
    <t>00010500000000000000</t>
  </si>
  <si>
    <t>Единый налог на вмененный доход для отдельных видов деятельности</t>
  </si>
  <si>
    <t>00010502000020000110</t>
  </si>
  <si>
    <t>00010502010020000110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</si>
  <si>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</si>
  <si>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00010502010021000110</t>
  </si>
  <si>
    <t>18210502010021000110</t>
  </si>
  <si>
    <t>Единый налог на вмененный доход для отдельных видов деятельности (пени по соответствующему платежу)</t>
  </si>
  <si>
    <t>00010502010022100110</t>
  </si>
  <si>
    <t>18210502010022100110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</si>
  <si>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</si>
  <si>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00010502010023000110</t>
  </si>
  <si>
    <t>18210502010023000110</t>
  </si>
  <si>
    <t>Единый налог на вмененный доход для отдельных видов деятельности (прочие поступления)</t>
  </si>
  <si>
    <t>00010502010024000110</t>
  </si>
  <si>
    <t>18210502010024000110</t>
  </si>
  <si>
    <t>Единый налог на вмененный доход для отдельных видов деятельности (за налоговые периоды, истекшие до 1 января 2011 года)</t>
  </si>
  <si>
    <t>00010502020020000110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</si>
  <si>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</si>
  <si>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00010502020021000110</t>
  </si>
  <si>
    <t>18210502020021000110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</si>
  <si>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</si>
  <si>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00010502020022100110</t>
  </si>
  <si>
    <t>18210502020022100110</t>
  </si>
  <si>
    <t>Единый сельскохозяйственный налог</t>
  </si>
  <si>
    <t>00010503000010000110</t>
  </si>
  <si>
    <t>00010503010010000110</t>
  </si>
  <si>
    <t>18210503010010000110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</si>
  <si>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</si>
  <si>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00010503010011000110</t>
  </si>
  <si>
    <t>18210503010011000110</t>
  </si>
  <si>
    <t>Единый сельскохозяйственный налог (пени по соответствующему платежу)</t>
  </si>
  <si>
    <t>00010503010012100110</t>
  </si>
  <si>
    <t>18210503010012100110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</si>
  <si>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</si>
  <si>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00010503010013000110</t>
  </si>
  <si>
    <t>18210503010013000110</t>
  </si>
  <si>
    <t>Единый сельскохозяйственный налог (за налоговые периоды, истекшие до 1 января 2011 года)</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</si>
  <si>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</si>
  <si>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</si>
  <si>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</si>
  <si>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</si>
  <si>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</si>
  <si>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</si>
  <si>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00010504020021000110</t>
  </si>
  <si>
    <t>18210504020021000110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</si>
  <si>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</si>
  <si>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</si>
  <si>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</si>
  <si>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</si>
  <si>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</si>
  <si>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</si>
  <si>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</si>
  <si>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18210803010010000110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</si>
  <si>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</si>
  <si>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00010803010011000110</t>
  </si>
  <si>
    <t>18210803010011000110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</si>
  <si>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</si>
  <si>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</si>
  <si>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выдачу разрешения на установку рекламной конструкции</t>
  </si>
  <si>
    <t>00010807150010000110</t>
  </si>
  <si>
    <t>90910807150010000110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</si>
  <si>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</si>
  <si>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</si>
  <si>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</si>
  <si>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 мобилизуемый на территориях муниципальных районов</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</si>
  <si>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</si>
  <si>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Налог на имущество предприятий</t>
  </si>
  <si>
    <t>Налог на имущество предприятий (пени по соответствующему платежу)</t>
  </si>
  <si>
    <t>ДОХОДЫ ОТ ИСПОЛЬЗОВАНИЯ ИМУЩЕСТВА, НАХОДЯЩЕГОСЯ В ГОСУДАРСТВЕННОЙ И МУНИЦИПАЛЬНОЙ СОБСТВЕННОСТИ</t>
  </si>
  <si>
    <t>00011100000000000000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</si>
  <si>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</si>
  <si>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</si>
  <si>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муниципальных районов</t>
  </si>
  <si>
    <t>00011103050050000120</t>
  </si>
  <si>
    <t>90811103050050000120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</si>
  <si>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</si>
  <si>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</si>
  <si>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</si>
  <si>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</si>
  <si>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</si>
  <si>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</si>
  <si>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90911105013130000120</t>
  </si>
  <si>
    <t>95011105013130000120</t>
  </si>
  <si>
    <t>95111105013130000120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</si>
  <si>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</si>
  <si>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</si>
  <si>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</si>
  <si>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</si>
  <si>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90911105035050000120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</si>
  <si>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</si>
  <si>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</si>
  <si>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</si>
  <si>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</si>
  <si>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</si>
  <si>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</si>
  <si>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90911109045050000120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</si>
  <si>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</si>
  <si>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</si>
  <si>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</si>
  <si>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</si>
  <si>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</si>
  <si>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</si>
  <si>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04811201010010000120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</si>
  <si>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</si>
  <si>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00011201010016000120</t>
  </si>
  <si>
    <t>04811201010016000120</t>
  </si>
  <si>
    <t>Плата за выбросы загрязняющих веществ в атмосферный воздух передвижными объектами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</si>
  <si>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</si>
  <si>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t>
  </si>
  <si>
    <t>00011201030010000120</t>
  </si>
  <si>
    <t>04811201030010000120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</si>
  <si>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</si>
  <si>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00011201030016000120</t>
  </si>
  <si>
    <t>04811201030016000120</t>
  </si>
  <si>
    <t>Плата за размещение отходов производства и потребления</t>
  </si>
  <si>
    <t>00011201040010000120</t>
  </si>
  <si>
    <t>04811201040010000120</t>
  </si>
  <si>
    <t>ДОХОДЫ ОТ ОКАЗАНИЯ ПЛАТНЫХ УСЛУГ (РАБОТ) И КОМПЕНСАЦИИ ЗАТРАТ ГОСУДАРСТВА</t>
  </si>
  <si>
    <t>00011300000000000000</t>
  </si>
  <si>
    <t>Доходы от оказания платных услуг (работ)</t>
  </si>
  <si>
    <t>00011301000000000130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</si>
  <si>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</si>
  <si>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</si>
  <si>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муниципальных районов</t>
  </si>
  <si>
    <t>00011301995050000130</t>
  </si>
  <si>
    <t>90211301995050000130</t>
  </si>
  <si>
    <t>Прочие доходы от оказания платных услуг (работ) получателями средств бюджетов муниципальных районов (родительская плата за содержание ребенка в образовательных учреждениях)</t>
  </si>
  <si>
    <t>00011301995050001130</t>
  </si>
  <si>
    <t>90311301995050001130</t>
  </si>
  <si>
    <t>Прочие доходы от оказания платных услуг (работ) получателями средств бюджетов муниципальных районов (родительская плата за оказание услуг по организации и обеспечению летнего отдыха и оздоровление детей в образовательных учреждениях)</t>
  </si>
  <si>
    <t>00011301995050005130</t>
  </si>
  <si>
    <t>90311301995050005130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</si>
  <si>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</si>
  <si>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</si>
  <si>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</si>
  <si>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</si>
  <si>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районов</t>
  </si>
  <si>
    <t>00011302995050000130</t>
  </si>
  <si>
    <t>Прочие доходы от компенсации затрат бюдже-тов муниципальных районов (возврат деби-торской задолженности прошлых лет)</t>
  </si>
  <si>
    <t>00011302995050004130</t>
  </si>
  <si>
    <t>90311302995050004130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</si>
  <si>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</si>
  <si>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</si>
  <si>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</si>
  <si>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</si>
  <si>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</si>
  <si>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</si>
  <si>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</si>
  <si>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</si>
  <si>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95011406013130000430</t>
  </si>
  <si>
    <t>95111406013130000430</t>
  </si>
  <si>
    <t>ШТРАФЫ, САНКЦИИ, ВОЗМЕЩЕНИЕ УЩЕРБА</t>
  </si>
  <si>
    <t>00011600000000000000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</si>
  <si>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</si>
  <si>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</si>
  <si>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</si>
  <si>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00011603010010000140</t>
  </si>
  <si>
    <t>18211603010010000140</t>
  </si>
  <si>
    <t>00011603010016000140</t>
  </si>
  <si>
    <t>18211603010016000140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</si>
  <si>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</si>
  <si>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</si>
  <si>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18211603030010000140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</si>
  <si>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</si>
  <si>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00011603030016000140</t>
  </si>
  <si>
    <t>18211603030016000140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</si>
  <si>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</si>
  <si>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</si>
  <si>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18211606000010000140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</si>
  <si>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</si>
  <si>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00011606000016000140</t>
  </si>
  <si>
    <t>18211606000016000140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</si>
  <si>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</si>
  <si>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</si>
  <si>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</si>
  <si>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00011608010010000140</t>
  </si>
  <si>
    <t>18811608010010000140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</si>
  <si>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</si>
  <si>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</si>
  <si>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</si>
  <si>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</si>
  <si>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</si>
  <si>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</si>
  <si>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</si>
  <si>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</si>
  <si>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00011623052050000140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</si>
  <si>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</si>
  <si>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</si>
  <si>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законодательства Российской Федерации об охране и использовании животного мира</t>
  </si>
  <si>
    <t>00011625030010000140</t>
  </si>
  <si>
    <t>07611625030010000140</t>
  </si>
  <si>
    <t>Денежные взыскания (штрафы) за нарушение законодательства в области охраны окружающей среды</t>
  </si>
  <si>
    <t>00011625050010000140</t>
  </si>
  <si>
    <t>14111625050010000140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</si>
  <si>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</si>
  <si>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00011625050016000140</t>
  </si>
  <si>
    <t>14111625050016000140</t>
  </si>
  <si>
    <t>Денежные взыскания (штрафы) за нарушение земельного законодательства</t>
  </si>
  <si>
    <t>00011625060010000140</t>
  </si>
  <si>
    <t>32111625060010000140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</si>
  <si>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</si>
  <si>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00011625060016000140</t>
  </si>
  <si>
    <t>32111625060016000140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</si>
  <si>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</si>
  <si>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</si>
  <si>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14111628000010000140</t>
  </si>
  <si>
    <t>18811628000010000140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</si>
  <si>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</si>
  <si>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00011628000016000140</t>
  </si>
  <si>
    <t>14111628000016000140</t>
  </si>
  <si>
    <t>18811628000016000140</t>
  </si>
  <si>
    <t>Денежные взыскания (штрафы) за правонарушения в области дорожного движения</t>
  </si>
  <si>
    <t>00011630000010000140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</si>
  <si>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</si>
  <si>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</si>
  <si>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</si>
  <si>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00011630014010000140</t>
  </si>
  <si>
    <t>18811630014010000140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</si>
  <si>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</si>
  <si>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00011630014016000140</t>
  </si>
  <si>
    <t>18811630014016000140</t>
  </si>
  <si>
    <t>Прочие денежные взыскания (штрафы) за правонарушения в области дорожного движения</t>
  </si>
  <si>
    <t>00011630030010000140</t>
  </si>
  <si>
    <t>18811630030010000140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</si>
  <si>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</si>
  <si>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00011630030016000140</t>
  </si>
  <si>
    <t>18811630030016000140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</si>
  <si>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</si>
  <si>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</si>
  <si>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</si>
  <si>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00011633050050000140</t>
  </si>
  <si>
    <t>83211633050050000140</t>
  </si>
  <si>
    <t>Суммы по искам о возмещении вреда, причиненного окружающей среде</t>
  </si>
  <si>
    <t>00011635000000000140</t>
  </si>
  <si>
    <t>Суммы по искам о возмещении вреда, причиненного окружающей среде, подлежащие зачислению в бюджеты муниципальных районов</t>
  </si>
  <si>
    <t>00011635030050000140</t>
  </si>
  <si>
    <t>07611635030050000140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</si>
  <si>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</si>
  <si>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00011635030056000140</t>
  </si>
  <si>
    <t>07611635030056000140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</si>
  <si>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</si>
  <si>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</si>
  <si>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</si>
  <si>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00011643000016000140</t>
  </si>
  <si>
    <t>18811643000016000140</t>
  </si>
  <si>
    <t>Прочие поступления от денежных взысканий (штрафов) и иных сумм в возмещение ущерба</t>
  </si>
  <si>
    <t>00011690000000000140</t>
  </si>
  <si>
    <t>Прочие поступления от денежных взысканий (штрафов) и иных сумм в возмещение ущерба, зачисляемые в бюджеты муниципальных районов</t>
  </si>
  <si>
    <t>00011690050050000140</t>
  </si>
  <si>
    <t>07611690050050000140</t>
  </si>
  <si>
    <t>17711690050050000140</t>
  </si>
  <si>
    <t>18811690050050000140</t>
  </si>
  <si>
    <t>41511690050050000140</t>
  </si>
  <si>
    <t>80911690050050000140</t>
  </si>
  <si>
    <t>81511690050050000140</t>
  </si>
  <si>
    <t>84011690050050000140</t>
  </si>
  <si>
    <t>90511690050050000140</t>
  </si>
  <si>
    <t>91111690050050000140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</si>
  <si>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</si>
  <si>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00011690050056000140</t>
  </si>
  <si>
    <t>07611690050056000140</t>
  </si>
  <si>
    <t>14111690050056000140</t>
  </si>
  <si>
    <t>18811690050056000140</t>
  </si>
  <si>
    <t>41511690050056000140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</si>
  <si>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</si>
  <si>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00011690050057000140</t>
  </si>
  <si>
    <t>17711690050057000140</t>
  </si>
  <si>
    <t>ПРОЧИЕ НЕНАЛОГОВЫЕ ДОХОДЫ</t>
  </si>
  <si>
    <t>00011700000000000000</t>
  </si>
  <si>
    <t>Прочие неналоговые доходы</t>
  </si>
  <si>
    <t>00011705000000000180</t>
  </si>
  <si>
    <t>Прочие неналоговые доходы бюджетов муниципальных районов</t>
  </si>
  <si>
    <t>00011705050050000180</t>
  </si>
  <si>
    <t>90911705050050000180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</si>
  <si>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</si>
  <si>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</si>
  <si>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</si>
  <si>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</si>
  <si>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</si>
  <si>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</si>
  <si>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</si>
  <si>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</si>
  <si>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государственной (муниципальной) собственности</t>
  </si>
  <si>
    <t>Прочие субсидии</t>
  </si>
  <si>
    <t>Прочие субсидии бюджетам муниципальных районов</t>
  </si>
  <si>
    <t>2102</t>
  </si>
  <si>
    <t>2104</t>
  </si>
  <si>
    <t>2103</t>
  </si>
  <si>
    <t>Субвенции бюджетам бюджетной системы Российской Федерации</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</si>
  <si>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</si>
  <si>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</si>
  <si>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</si>
  <si>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</si>
  <si>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2201</t>
  </si>
  <si>
    <t>2202</t>
  </si>
  <si>
    <t>2203</t>
  </si>
  <si>
    <t>2204</t>
  </si>
  <si>
    <t>2205</t>
  </si>
  <si>
    <t>2206</t>
  </si>
  <si>
    <t>2207</t>
  </si>
  <si>
    <t>2208</t>
  </si>
  <si>
    <t>Прочие субвенции</t>
  </si>
  <si>
    <t>Прочие субвенции бюджетам муниципальных районов</t>
  </si>
  <si>
    <t>2209</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</si>
  <si>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</si>
  <si>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</si>
  <si>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</si>
  <si>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2303</t>
  </si>
  <si>
    <t>2304</t>
  </si>
  <si>
    <t>ПРОЧИЕ БЕЗВОЗМЕЗДНЫЕ ПОСТУПЛЕНИЯ</t>
  </si>
  <si>
    <t>00020700000000000000</t>
  </si>
  <si>
    <t>Прочие безвозмездные поступления в бюджеты муниципальных районов</t>
  </si>
  <si>
    <t>00020705000050000180</t>
  </si>
  <si>
    <t>Поступления от денежных пожертвований, предоставляемых физическими лицами получателям средств бюджетов муниципальных районов</t>
  </si>
  <si>
    <t>00020705020050000180</t>
  </si>
  <si>
    <t>90320705020050000180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</si>
  <si>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</si>
  <si>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</si>
  <si>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</si>
  <si>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ИТОГО:</t>
  </si>
  <si>
    <t>Наименование кода поступлений в бюджет, группы, подгруппы, статьи, подстатьи, элемента, группы, подвида, аналитической группы подвида доходов</t>
  </si>
  <si>
    <t>наименование</t>
  </si>
  <si>
    <t>Наименование главного администратора доходов МО "Тайшетский район"</t>
  </si>
  <si>
    <t>Классификация доходов бюджетов</t>
  </si>
  <si>
    <t>код</t>
  </si>
  <si>
    <t>Прогноз доходов бюджета</t>
  </si>
  <si>
    <t>тыс.руб.</t>
  </si>
  <si>
    <t>34,25 ¹                                   31,25 ²</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</si>
  <si>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</si>
  <si>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Управление Федеральной налоговой службы по Иркутской области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</si>
  <si>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</si>
  <si>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</si>
  <si>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</si>
  <si>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</si>
  <si>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</si>
  <si>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</si>
  <si>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</si>
  <si>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10010302230010000110</t>
  </si>
  <si>
    <t>10010302240010000110</t>
  </si>
  <si>
    <t>10010302250010000110</t>
  </si>
  <si>
    <t>10010302260010000110</t>
  </si>
  <si>
    <t>Управление Федерального казначейства по Иркутской области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</si>
  <si>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</si>
  <si>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</si>
  <si>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</si>
  <si>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</si>
  <si>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</si>
  <si>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</si>
  <si>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</si>
  <si>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</si>
  <si>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</si>
  <si>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</si>
  <si>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</si>
  <si>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</si>
  <si>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</si>
  <si>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</si>
  <si>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</si>
  <si>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</si>
  <si>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</si>
  <si>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</si>
  <si>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</si>
  <si>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</si>
  <si>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</si>
  <si>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Минимальный налог, зачисляемый в бюджеты субъектов Российской Федерации (пени по соответствующему платежу)</t>
  </si>
  <si>
    <t>100</t>
  </si>
  <si>
    <t>50</t>
  </si>
  <si>
    <t>18210504020020000110</t>
  </si>
  <si>
    <t>Управление образования администрации Тайшетского района</t>
  </si>
  <si>
    <t>Уполномоченный орган местного самоуправления городского поселения</t>
  </si>
  <si>
    <t>Управление Росприроднадзора по Иркутской области</t>
  </si>
  <si>
    <t>Муниципальное учреждение Администрация Тайшетского района</t>
  </si>
  <si>
    <t xml:space="preserve">Прочие доходы от оказания платных услуг (работ) получателями средств бюджетов муниципальных районов </t>
  </si>
  <si>
    <t xml:space="preserve">Прочие доходы от компенсации затрат бюдже-тов муниципальных районов </t>
  </si>
  <si>
    <t>55</t>
  </si>
  <si>
    <t>14111608010010000140</t>
  </si>
  <si>
    <t>14111690050050000140</t>
  </si>
  <si>
    <t>Главное управление Министерства внутренних дел Российской Федерации по Иркутской области</t>
  </si>
  <si>
    <t>Контрольно-счетная палата Тайшетского района</t>
  </si>
  <si>
    <t>Служба государственного финансового контроля Иркутской области</t>
  </si>
  <si>
    <t>Генеральная прокуратура Российской Федерации</t>
  </si>
  <si>
    <t xml:space="preserve">Служба ветеринарии Иркутской области </t>
  </si>
  <si>
    <t xml:space="preserve">Главное управление МЧС России по Иркутской области </t>
  </si>
  <si>
    <t>Министерство сельского хозяйства Иркутской области</t>
  </si>
  <si>
    <t>Управление Роспотребнадзора по Иркутской области</t>
  </si>
  <si>
    <t>Управление Федеральной службы государственной регистрации, кадастра и картографии по Иркутской области</t>
  </si>
  <si>
    <t>Ангаро-Байкальское территориальное управление Федерального агентства по рыболовству</t>
  </si>
  <si>
    <t>Отдел по предоставлению гражданам субсидий на оплату жилья и коммунальных услуг администрации Тайшетского района</t>
  </si>
  <si>
    <t>Муниципальное казенное учреждение "Служба гражданской обороны и предупреждения чрезвычайных ситуаций в муниципальном образованиии "Тайшетский район"</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</si>
  <si>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</si>
  <si>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00011105013050000120</t>
  </si>
  <si>
    <t>90911105013050000120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</si>
  <si>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</si>
  <si>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</si>
  <si>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</si>
  <si>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90911105025050000120</t>
  </si>
  <si>
    <t>Плата по соглашениям об установлении сервитута в отношении земельных участков, государственная собственность на которые не разграничена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</si>
  <si>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</si>
  <si>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</si>
  <si>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</si>
  <si>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90911402053050000410</t>
  </si>
  <si>
    <t>00011406013050000430</t>
  </si>
  <si>
    <t>90911406013050000430</t>
  </si>
  <si>
    <t>90311623052050000140</t>
  </si>
  <si>
    <t>Невыясненные поступления, зачисляемые в бюджеты муниципальных районов</t>
  </si>
  <si>
    <t>00011701050050000180</t>
  </si>
  <si>
    <t>90511701050050000180</t>
  </si>
  <si>
    <t>90811701050050000180</t>
  </si>
  <si>
    <t>00020220077050000151</t>
  </si>
  <si>
    <t>91020220077050000151</t>
  </si>
  <si>
    <t>Муниципальное учреждение "Управление строительства, архитектуры и инвестиционной политики администрации Тайшетского района"</t>
  </si>
  <si>
    <t>00020215002050000151</t>
  </si>
  <si>
    <t>90820215002050000151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</si>
  <si>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</si>
  <si>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00020225558050000151</t>
  </si>
  <si>
    <t>90220225558050000151</t>
  </si>
  <si>
    <t>00020229999050000151</t>
  </si>
  <si>
    <t>90220229999050000151</t>
  </si>
  <si>
    <t>90320229999050000151</t>
  </si>
  <si>
    <t>90820229999050000151</t>
  </si>
  <si>
    <t>91020229999050000151</t>
  </si>
  <si>
    <t>00020230022050000151</t>
  </si>
  <si>
    <t>90720230022050000151</t>
  </si>
  <si>
    <t>00020230024050000151</t>
  </si>
  <si>
    <t>90320230024050000151</t>
  </si>
  <si>
    <t>90520230024050000151</t>
  </si>
  <si>
    <t>00020239999050000151</t>
  </si>
  <si>
    <t>90320239999050000151</t>
  </si>
  <si>
    <t>00020240014050000151</t>
  </si>
  <si>
    <t>90520240014050000151</t>
  </si>
  <si>
    <t>90820240014050000151</t>
  </si>
  <si>
    <t>91120240014050000151</t>
  </si>
  <si>
    <t>91220240014050000151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</si>
  <si>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</si>
  <si>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90721960010050000151</t>
  </si>
  <si>
    <t>Субсидия бюджетам муниципальных районов на поддержку отрасли культуры</t>
  </si>
  <si>
    <t>00020225519050000151</t>
  </si>
  <si>
    <t>90220225519050000151</t>
  </si>
  <si>
    <t>00020215001050000151</t>
  </si>
  <si>
    <t>90820215001050000151</t>
  </si>
  <si>
    <t>Дотации бюджетам муниципальных районов на выравнивание бюджетной обеспеченности</t>
  </si>
  <si>
    <t>00020235120050000151</t>
  </si>
  <si>
    <t>90520235120050000151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</si>
  <si>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</si>
  <si>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проверка</t>
  </si>
  <si>
    <t>Начальник финансового управления администрации Тайшетского района</t>
  </si>
  <si>
    <t>Единица измерения:  тыс. руб.</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</si>
  <si>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</si>
  <si>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</si>
  <si>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взимаемый в связи с применением упрощенной системы налогообложения</t>
  </si>
  <si>
    <t>00010501000000000110</t>
  </si>
  <si>
    <t>00010501010010000110</t>
  </si>
  <si>
    <t>00010501011010000110</t>
  </si>
  <si>
    <t>00010501011011000110</t>
  </si>
  <si>
    <t>18210501011011000110</t>
  </si>
  <si>
    <t>00010501011012100110</t>
  </si>
  <si>
    <t>18210501011012100110</t>
  </si>
  <si>
    <t>00010501011013000110</t>
  </si>
  <si>
    <t>18210501011013000110</t>
  </si>
  <si>
    <t>00010501011014000110</t>
  </si>
  <si>
    <t>00010501020010000110</t>
  </si>
  <si>
    <t>00010501021010000110</t>
  </si>
  <si>
    <t>00010501021011000110</t>
  </si>
  <si>
    <t>18210501021011000110</t>
  </si>
  <si>
    <t>00010501021012100110</t>
  </si>
  <si>
    <t>18210501021012100110</t>
  </si>
  <si>
    <t>00010501021013000110</t>
  </si>
  <si>
    <t>18210501021013000110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</si>
  <si>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</si>
  <si>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00010501021014000110</t>
  </si>
  <si>
    <t>18210501021014000110</t>
  </si>
  <si>
    <t>00010501050011000110</t>
  </si>
  <si>
    <t>18210501050011000110</t>
  </si>
  <si>
    <t>00010501050012100110</t>
  </si>
  <si>
    <t>18210501050012100110</t>
  </si>
  <si>
    <t>Налог, взимаемый в связи с применением патентной системы налогообложения, зачисляемый в бюджеты муниципальных районов 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</si>
  <si>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</si>
  <si>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00010803010014000110</t>
  </si>
  <si>
    <t>18210803010014000110</t>
  </si>
  <si>
    <t>00011105020000000120</t>
  </si>
  <si>
    <t>Плата за выбросы загрязняющих веществ в атмосферный воздух стационарными объектами 7</t>
  </si>
  <si>
    <t>Прочие доходы от оказания платных услуг (работ) получателями средств бюджетов муниципальных районов (возмещение затрат пользователями муниципальной собственности по коммунальным платежам, прочим платежам)</t>
  </si>
  <si>
    <t>00011301995050002130</t>
  </si>
  <si>
    <t>90311301995050002130</t>
  </si>
  <si>
    <t>90211302995050004130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</si>
  <si>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</si>
  <si>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</si>
  <si>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00011402050050000410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</si>
  <si>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</si>
  <si>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</si>
  <si>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</si>
  <si>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</si>
  <si>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</si>
  <si>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00011406313130000430</t>
  </si>
  <si>
    <t>95111406313130000430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</si>
  <si>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</si>
  <si>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</si>
  <si>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</si>
  <si>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00011608020016000140</t>
  </si>
  <si>
    <t>Невыясненные поступления</t>
  </si>
  <si>
    <t>00011701000000000180</t>
  </si>
  <si>
    <t>2105</t>
  </si>
  <si>
    <t>00020210000000000151</t>
  </si>
  <si>
    <t>00020215002000000151</t>
  </si>
  <si>
    <t>00020220000000000151</t>
  </si>
  <si>
    <t>00020220077000000151</t>
  </si>
  <si>
    <t>Субсидии бюджетам муниципальных районов на софинансирование капитальных вложений в объекты муниципальной собственности</t>
  </si>
  <si>
    <t>Субсидия бюджетам на поддержку отрасли культуры</t>
  </si>
  <si>
    <t>00020225519000000151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</si>
  <si>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</si>
  <si>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00020225558000000151</t>
  </si>
  <si>
    <t>00020229999000000151</t>
  </si>
  <si>
    <t>2107</t>
  </si>
  <si>
    <t>2108</t>
  </si>
  <si>
    <t>2106</t>
  </si>
  <si>
    <t>00020230000000000151</t>
  </si>
  <si>
    <t>00020230022000000151</t>
  </si>
  <si>
    <t>00020230024000000151</t>
  </si>
  <si>
    <t>00020239999000000151</t>
  </si>
  <si>
    <t>00020240000000000151</t>
  </si>
  <si>
    <t>00020240014000000151</t>
  </si>
  <si>
    <t>00021900000050000151</t>
  </si>
  <si>
    <t>00021960010050000151</t>
  </si>
  <si>
    <t>90321960010050000151</t>
  </si>
  <si>
    <t>90521960010050000151</t>
  </si>
  <si>
    <t>90821960010050000151</t>
  </si>
  <si>
    <t>91121960010050000151</t>
  </si>
  <si>
    <t>Фактическое исполнение доходов бюджета в 2017 году</t>
  </si>
  <si>
    <t>182 1 01 02040 01 0000 110</t>
  </si>
  <si>
    <t>182 1 0 102030 01 0000 110</t>
  </si>
  <si>
    <t>182 1 01 02010 01 0000 110</t>
  </si>
  <si>
    <t>182 1 01 02020 01 0000 110</t>
  </si>
  <si>
    <t>182 1 05 02010 02 0000 110</t>
  </si>
  <si>
    <t>182 1 05 01050 01 0000 110</t>
  </si>
  <si>
    <t>182 1 05 02020 02 0000 110</t>
  </si>
  <si>
    <t>182 1 05 03010 01 0000 110</t>
  </si>
  <si>
    <t>182 1 05 03020 01 0000 110</t>
  </si>
  <si>
    <t>182 1 05 04020 02 0000 110</t>
  </si>
  <si>
    <t>000 1 08 03010 01 0000 110</t>
  </si>
  <si>
    <t>182 1 08 03010 01 0000 110</t>
  </si>
  <si>
    <t>000 1 08 07150 01 0000 110</t>
  </si>
  <si>
    <t>909 1 08 07150 01 0000 110</t>
  </si>
  <si>
    <t>182 1 09 01030 05 0000 110</t>
  </si>
  <si>
    <t>182 1 09 04010 02 0000 110</t>
  </si>
  <si>
    <t>000 1 11 03050 05 0000 120</t>
  </si>
  <si>
    <t>908 1 11 03050 05 0000 120</t>
  </si>
  <si>
    <t>000 1 11 05013 05 0000 120</t>
  </si>
  <si>
    <t>909 1 11 05013 05 0000 120</t>
  </si>
  <si>
    <t>909 1 11 05013 13 0000 120</t>
  </si>
  <si>
    <t>000 1 11 05013 13 0000 120</t>
  </si>
  <si>
    <t>950 1 11 05013 13 0000 120</t>
  </si>
  <si>
    <t>951 1 11 05013 13 0000 120</t>
  </si>
  <si>
    <t>000 1 11 05025 05 0000 120</t>
  </si>
  <si>
    <t>909 1 11 05025 05 0000 120</t>
  </si>
  <si>
    <t>000 1 11 05035 05 0000 120</t>
  </si>
  <si>
    <t>909 1 11 05035 05 0000 120</t>
  </si>
  <si>
    <t>000 1 11 09045 05 0000 120</t>
  </si>
  <si>
    <t>909 1 11 09045 05 0000 120</t>
  </si>
  <si>
    <t>000 1 12 01010 01 0000 120</t>
  </si>
  <si>
    <t>048 1 12 01010 01 0000 120</t>
  </si>
  <si>
    <t>000 1 12 01020 01 0000 120</t>
  </si>
  <si>
    <t>048 1 12 01020 01 0000 120</t>
  </si>
  <si>
    <t>000 1 12 01030 01 0000 120</t>
  </si>
  <si>
    <t>048 1 12 01030 01 0000 120</t>
  </si>
  <si>
    <t>000 1 13 01995 05 0000 130</t>
  </si>
  <si>
    <t>902 1 13 01995 05 0000 130</t>
  </si>
  <si>
    <t>903 1 13 01995 05 0000 130</t>
  </si>
  <si>
    <t>000 1 13 02995 05 0000 130</t>
  </si>
  <si>
    <t>902 1 13 02995 05 0000 130</t>
  </si>
  <si>
    <t>903 1 13 02995 05 0000 130</t>
  </si>
  <si>
    <t>905 1 13 02995 05 0000 130</t>
  </si>
  <si>
    <t>000 1 14 02053 05 0000 410</t>
  </si>
  <si>
    <t>909 1 14 02053 05 0000 410</t>
  </si>
  <si>
    <t>000 1 14 06013 05 0000 430</t>
  </si>
  <si>
    <t>909 1 14 06013 05 0000 430</t>
  </si>
  <si>
    <t>000 1 14 06013 13 0000 430</t>
  </si>
  <si>
    <t>950 1 14 06013 13 0000 430</t>
  </si>
  <si>
    <t>951 1 14 06013 13 0000 430</t>
  </si>
  <si>
    <t>000 1 16 03010 01 0000 140</t>
  </si>
  <si>
    <t>182 1 16 03010 01 0000 140</t>
  </si>
  <si>
    <t>000 1 16 03030 01 0000 140</t>
  </si>
  <si>
    <t>182 1 16 03030 01 0000 140</t>
  </si>
  <si>
    <t>000 1 16 06000 01 0000 140</t>
  </si>
  <si>
    <t>182 1 16 06000 01 0000 140</t>
  </si>
  <si>
    <t>000 1 16 08010 01 0000 140</t>
  </si>
  <si>
    <t>188 1 16 08010 01 0000 140</t>
  </si>
  <si>
    <t>000 1 16 25030 01 0000 140</t>
  </si>
  <si>
    <t>141 1 16 25050 01 0000 140</t>
  </si>
  <si>
    <t>000 1 16 25060 01 0000 140</t>
  </si>
  <si>
    <t>321 1 16 25060 01 0000 140</t>
  </si>
  <si>
    <t>000 1 16 28000 01 0000 140</t>
  </si>
  <si>
    <t>141 1 16 28000 01 0000 140</t>
  </si>
  <si>
    <t>188 1 16 28000 01 0000 140</t>
  </si>
  <si>
    <t>000 1 16 30014 01 0000 140</t>
  </si>
  <si>
    <t>188 1 16 30014 01 0000 140</t>
  </si>
  <si>
    <t>000 1 16 30030 01 0000 140</t>
  </si>
  <si>
    <t>188 1 16 30030 01 0000 140</t>
  </si>
  <si>
    <t>000 1 16 33050 05 0000 140</t>
  </si>
  <si>
    <t>832 1 16 33050 05 0000 140</t>
  </si>
  <si>
    <t>000 1 16 35030 05 0000 140</t>
  </si>
  <si>
    <t>076 1 16 35030 05 0000 140</t>
  </si>
  <si>
    <t>000 1 16 43000 01 0000 140</t>
  </si>
  <si>
    <t>188 1 16 43000 01 6000 140</t>
  </si>
  <si>
    <t>000 1 16 90050 05 0000 140</t>
  </si>
  <si>
    <t>809 1 16 90050 05 0000 140</t>
  </si>
  <si>
    <t>840 1 16 90050 05 0000 140</t>
  </si>
  <si>
    <t>905 1 16 90050 05 0000 140</t>
  </si>
  <si>
    <t>076 1 16 90050 05 0000 140</t>
  </si>
  <si>
    <t>141 1 16 90050 05 0000 140</t>
  </si>
  <si>
    <t>188 1 16 90050 05 0000 140</t>
  </si>
  <si>
    <t>415 1 16 90050 05 0000 140</t>
  </si>
  <si>
    <t>177 1 16 90050 05 0000 140</t>
  </si>
  <si>
    <t>000 1 17 01050 05 0000 180</t>
  </si>
  <si>
    <t>905 1 17 01050 05 0000 180</t>
  </si>
  <si>
    <t>908 1 17 01050 05 0000 180</t>
  </si>
  <si>
    <t>909 1 17 01050 05 0000 180</t>
  </si>
  <si>
    <t>000 1 17 05050 05 0000 180</t>
  </si>
  <si>
    <t>909 1 17 05050 05 0000 180</t>
  </si>
  <si>
    <t/>
  </si>
  <si>
    <t>Период для фактических показателей:</t>
  </si>
  <si>
    <t>Период для плановых показателей:</t>
  </si>
  <si>
    <t>Поступление за Сентябрь</t>
  </si>
  <si>
    <t>НАЛОГИ НА ТОВАРЫ (РАБОТЫ, УСЛУГИ), РЕАЛИЗУЕМЫЕ НА ТЕРРИТОРИИ РОССИЙСКОЙ ФЕДЕРАЦИИ</t>
  </si>
  <si>
    <t>00010300000000000000</t>
  </si>
  <si>
    <t>00010302000010000110</t>
  </si>
  <si>
    <t>00010302230010000110</t>
  </si>
  <si>
    <t>00010302240010000110</t>
  </si>
  <si>
    <t>00010302250010000110</t>
  </si>
  <si>
    <t>00010302260010000110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</si>
  <si>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</si>
  <si>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</si>
  <si>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</si>
  <si>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</si>
  <si>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</si>
  <si>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</si>
  <si>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00010504020022100110</t>
  </si>
  <si>
    <t>18210504020022100110</t>
  </si>
  <si>
    <t>Прочие налоги и сборы (по отмененным налогам и сборам субъектов Российской Федерации)</t>
  </si>
  <si>
    <t>00010906000020000110</t>
  </si>
  <si>
    <t>Налог с продаж</t>
  </si>
  <si>
    <t>00010906010020000110</t>
  </si>
  <si>
    <t>Налог с продаж (пени по соответствующему платежу)</t>
  </si>
  <si>
    <t>00010906010022100110</t>
  </si>
  <si>
    <t>18210906010022100110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</si>
  <si>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</si>
  <si>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Плата за размещение отходов производства</t>
  </si>
  <si>
    <t>00011201041010000120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</si>
  <si>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</si>
  <si>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00011201041016000120</t>
  </si>
  <si>
    <t>04811201041016000120</t>
  </si>
  <si>
    <t>Плата за размещение твердых коммунальных отходов</t>
  </si>
  <si>
    <t>00011201042010000120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</si>
  <si>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</si>
  <si>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00011201042016000120</t>
  </si>
  <si>
    <t>04811201042016000120</t>
  </si>
  <si>
    <t>91011302995050000130</t>
  </si>
  <si>
    <t>90511302995050004130</t>
  </si>
  <si>
    <t>90911302995050004130</t>
  </si>
  <si>
    <t>91111302995050004130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</si>
  <si>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</si>
  <si>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14111608020016000140</t>
  </si>
  <si>
    <t>90911633050050000140</t>
  </si>
  <si>
    <t>18811643000010000140</t>
  </si>
  <si>
    <t>84311643000010000140</t>
  </si>
  <si>
    <t>18211643000016000140</t>
  </si>
  <si>
    <t>32211643000016000140</t>
  </si>
  <si>
    <t>81311690050050000140</t>
  </si>
  <si>
    <t>84311690050050000140</t>
  </si>
  <si>
    <t>91011705050050000180</t>
  </si>
  <si>
    <t>Дотации на выравнивание бюджетной обеспеченности</t>
  </si>
  <si>
    <t>00020215001000000151</t>
  </si>
  <si>
    <t>Субсидии бюджетам на реализацию мероприятий по обеспечению жильем молодых семей</t>
  </si>
  <si>
    <t>00020225497000000151</t>
  </si>
  <si>
    <t>Субсидии бюджетам муниципальных районов на реализацию мероприятий по обеспечению жильем молодых семей</t>
  </si>
  <si>
    <t>00020225497050000151</t>
  </si>
  <si>
    <t>90220225497050000151</t>
  </si>
  <si>
    <t>2109</t>
  </si>
  <si>
    <t>2112</t>
  </si>
  <si>
    <t>2110</t>
  </si>
  <si>
    <t>90920229999050000151</t>
  </si>
  <si>
    <t>2111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</si>
  <si>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</si>
  <si>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00020235120000000151</t>
  </si>
  <si>
    <t>2301</t>
  </si>
  <si>
    <t>2302</t>
  </si>
  <si>
    <t>90920240014050000151</t>
  </si>
  <si>
    <t>182 1 05 01011 01 0000 110</t>
  </si>
  <si>
    <t>182 1 05 01012 01 0000 110</t>
  </si>
  <si>
    <t>182 1 05 01021 01 0000 110</t>
  </si>
  <si>
    <t>182 1 05 01022 01 0000 110</t>
  </si>
  <si>
    <t>182 1 09 06010 02 0000 110</t>
  </si>
  <si>
    <t>60</t>
  </si>
  <si>
    <t>Уполномоченный орган  местного самоуправления городского поселения</t>
  </si>
  <si>
    <t xml:space="preserve">Плата за размещение отходов производства </t>
  </si>
  <si>
    <t>000 1 12 01041 01 0000 120</t>
  </si>
  <si>
    <t>048 1 12 01041 01 0000 120</t>
  </si>
  <si>
    <t>000 1 12 01042 01 0000 120</t>
  </si>
  <si>
    <t>048 1 12 01042 01 0000 120</t>
  </si>
  <si>
    <t xml:space="preserve">Плата за размещение твердых коммунальных отходов </t>
  </si>
  <si>
    <t>909 1 13 02995 05 0000 130</t>
  </si>
  <si>
    <t>910 1 13 02995 05 0000 130</t>
  </si>
  <si>
    <t>911 1 13 02995 05 0000 130</t>
  </si>
  <si>
    <t>Комитет по управлению муниципальным имуществом, строительству, архитектуре и жилищно-коммунальному хозяйству   администрации Тайшетского района</t>
  </si>
  <si>
    <t>Управление культуры, спорта и молодежной политики администрации Тайшетского района"</t>
  </si>
  <si>
    <t>951 1 14 06313 13 0000 430</t>
  </si>
  <si>
    <t>000 1 16 25050 01 0000 140</t>
  </si>
  <si>
    <t>909 1 16 33050 05 0000 140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</si>
  <si>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</si>
  <si>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843 1 16 43000 01 6000 140</t>
  </si>
  <si>
    <t>182 1 16 43000 01 6000 140</t>
  </si>
  <si>
    <t>322 1 16 43000 01 6000 140</t>
  </si>
  <si>
    <t>Министерство лесного комплекса Иркутской области</t>
  </si>
  <si>
    <t xml:space="preserve">Управление Федеральной службы судебных приставов по Иркутской области   </t>
  </si>
  <si>
    <t>813 1 16 90050 05 0000 140</t>
  </si>
  <si>
    <t>Министерство имущественных отношений Иркутской области</t>
  </si>
  <si>
    <t>843 1 16 90050 05 0000 140</t>
  </si>
  <si>
    <t xml:space="preserve">Прочие неналоговые доходы </t>
  </si>
  <si>
    <t>910 1 17 05050 05 0000 180</t>
  </si>
  <si>
    <t>141 1 16 08020 01 0000 140</t>
  </si>
  <si>
    <t>000 1 16 08020 01 0000 140</t>
  </si>
  <si>
    <t xml:space="preserve">Денежные взыскания (штрафы) за административные правонарушения в области государственного регулирования производства и оборота табачной продукции </t>
  </si>
  <si>
    <t>843 1 16 25030 01 0000 140</t>
  </si>
  <si>
    <t>34,25¹                                   31,25²</t>
  </si>
  <si>
    <t>911 2 19 05000 05 0000 150</t>
  </si>
  <si>
    <t>908 2 19 05000 05 0000 150</t>
  </si>
  <si>
    <t>907 2 19 60010 05 0000 150</t>
  </si>
  <si>
    <t>905 2 19 05000 05 0000 150</t>
  </si>
  <si>
    <t>903 2 19 05000 05 0000 150</t>
  </si>
  <si>
    <t>000 2 19 05000 05 0000 150</t>
  </si>
  <si>
    <t>903 2 07 05020 05 0000 150</t>
  </si>
  <si>
    <t>000 2 07 05020 05 0000 150</t>
  </si>
  <si>
    <t>912 2 02 40014 05 0000 150</t>
  </si>
  <si>
    <t>911 2 02 40014 05 0000 150</t>
  </si>
  <si>
    <t>905 2 02 40014 05 0000 150</t>
  </si>
  <si>
    <t>000 2 02 40014 05 0000 150</t>
  </si>
  <si>
    <t>903 2 02 39999 05 0000 150</t>
  </si>
  <si>
    <t>000 2 02 39999 05 0000 150</t>
  </si>
  <si>
    <t>905 2 02 35120 05 0000 150</t>
  </si>
  <si>
    <t>000 2 02 35120 05 0000 150</t>
  </si>
  <si>
    <t>905 2 02 30024 05 0000 150</t>
  </si>
  <si>
    <t>903 2 02 30024 05 0000 150</t>
  </si>
  <si>
    <t>000 2 02 30024 05 0000 150</t>
  </si>
  <si>
    <t>907 2 02 30022 05 0000 150</t>
  </si>
  <si>
    <t>000 2 02 30022 05 0000 150</t>
  </si>
  <si>
    <t>910 2 02 29999 05 0000 150</t>
  </si>
  <si>
    <t>909 2 02 29999 05 0000 150</t>
  </si>
  <si>
    <t>908 2 02 29999 05 0000 150</t>
  </si>
  <si>
    <t>903 2 02 29999 05 0000 150</t>
  </si>
  <si>
    <t>902 2 02 29999 05 0000 150</t>
  </si>
  <si>
    <t>000 2 02 29999 05 0000 150</t>
  </si>
  <si>
    <t>902 2 02 25519 05 0000 150</t>
  </si>
  <si>
    <t>000 2 02 25519 05 0000 150</t>
  </si>
  <si>
    <t>902 2 02 25497 05 0000 150</t>
  </si>
  <si>
    <t>000 2 02 25497 05 0000 150</t>
  </si>
  <si>
    <t>000 2 02 20077 05 0000 150</t>
  </si>
  <si>
    <t>908 2 02 15002 05 0000 150</t>
  </si>
  <si>
    <t>000 2 02 15002 05 0000 150</t>
  </si>
  <si>
    <t>908 2 02 15001 05 0000 150</t>
  </si>
  <si>
    <t>000 2 02 15001 05 0000 150</t>
  </si>
  <si>
    <t>Реестр источников доходов бюджета МО "Тайшетский район" на 2020 год и плановый период 2021 и 2022 годов</t>
  </si>
  <si>
    <t>Норматив зачисления в бюджет МО "Тайшетский район" на 2020 год в процентах</t>
  </si>
  <si>
    <t>Кассовое поступление в текущем финансовом году (по состоянию на 1 октября 2019 года)</t>
  </si>
  <si>
    <t>Оценка исполнения на 2019 год (текущий финансовый год)</t>
  </si>
  <si>
    <t>на 2020 год (очередной финансовый год)</t>
  </si>
  <si>
    <t>на 2021 год (первый год планового периода)</t>
  </si>
  <si>
    <t>на 2022 год (второй год планового периода)</t>
  </si>
  <si>
    <t>14.01.2019</t>
  </si>
  <si>
    <t>с 01.01.2018 по 31.12.2018</t>
  </si>
  <si>
    <t>Поступление за Декабрь</t>
  </si>
  <si>
    <t>Поступление с 01.01.2018 по 31.12.2018</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</si>
  <si>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</si>
  <si>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00010102010015000110</t>
  </si>
  <si>
    <t>18210102010015000110</t>
  </si>
  <si>
    <t>18210501011014000110</t>
  </si>
  <si>
    <t>00010501050010000110</t>
  </si>
  <si>
    <t>00010503020010000110</t>
  </si>
  <si>
    <t>Единый сельскохозяйственный налог (за налоговые периоды, истекшие до 1 января 2011 года) (пени по соответствующему платежу)</t>
  </si>
  <si>
    <t>00010503020012100110</t>
  </si>
  <si>
    <t>Плата за размещение отходов производства (пени по соответствующему платежу)</t>
  </si>
  <si>
    <t>00011201041012100120</t>
  </si>
  <si>
    <t>04811201041012100120</t>
  </si>
  <si>
    <t>90811302995050004130</t>
  </si>
  <si>
    <t>91211302995050004130</t>
  </si>
  <si>
    <t>18811608010016000140</t>
  </si>
  <si>
    <t>00011608020010000140</t>
  </si>
  <si>
    <t>81511625030010000140</t>
  </si>
  <si>
    <t>84311625030010000140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</si>
  <si>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</si>
  <si>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00011625030016000140</t>
  </si>
  <si>
    <t>07611625030016000140</t>
  </si>
  <si>
    <t>08111625060016000140</t>
  </si>
  <si>
    <t>90911690050050000140</t>
  </si>
  <si>
    <t>91211701050050000180</t>
  </si>
  <si>
    <t>90811705050050000180</t>
  </si>
  <si>
    <t>90920220077050000151</t>
  </si>
  <si>
    <t>2101</t>
  </si>
  <si>
    <t>2210</t>
  </si>
  <si>
    <t>90221960010050000151</t>
  </si>
  <si>
    <t>01.10.2019</t>
  </si>
  <si>
    <t>с 01.01.2019 по 30.09.2019</t>
  </si>
  <si>
    <t>с 01.01.2019 по 01.10.2019</t>
  </si>
  <si>
    <t>Поступление на 01.10.2019</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</si>
  <si>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</si>
  <si>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</si>
  <si>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</si>
  <si>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</si>
  <si>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00010102050012100110</t>
  </si>
  <si>
    <t>18210102050012100110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</si>
  <si>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</si>
  <si>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</si>
  <si>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10010302231010000110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</si>
  <si>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</si>
  <si>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</si>
  <si>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10010302241010000110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</si>
  <si>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</si>
  <si>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</si>
  <si>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10010302251010000110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</si>
  <si>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</si>
  <si>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</si>
  <si>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10010302261010000110</t>
  </si>
  <si>
    <t>00010501012010000110</t>
  </si>
  <si>
    <t>00010501012013000110</t>
  </si>
  <si>
    <t>18210501012013000110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</si>
  <si>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</si>
  <si>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</si>
  <si>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</si>
  <si>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</si>
  <si>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</si>
  <si>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</si>
  <si>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18210502010020000110</t>
  </si>
  <si>
    <t>00010807150011000110</t>
  </si>
  <si>
    <t>90910807150011000110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</si>
  <si>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</si>
  <si>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</si>
  <si>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00011105310000000120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</si>
  <si>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</si>
  <si>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00011105313050000120</t>
  </si>
  <si>
    <t>90911105313050000120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</si>
  <si>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</si>
  <si>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</si>
  <si>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</si>
  <si>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</si>
  <si>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</si>
  <si>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00011107015050000120</t>
  </si>
  <si>
    <t>90911107015050000120</t>
  </si>
  <si>
    <t>ДОХОДЫ ОТ ОКАЗАНИЯ ПЛАТНЫХ УСЛУГ И КОМПЕНСАЦИИ ЗАТРАТ ГОСУДАРСТВА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</si>
  <si>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</si>
  <si>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</si>
  <si>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</si>
  <si>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00011406025050000430</t>
  </si>
  <si>
    <t>90911406025050000430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</si>
  <si>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</si>
  <si>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84311625030016000140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</si>
  <si>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</si>
  <si>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</si>
  <si>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</si>
  <si>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00011625074050000140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</si>
  <si>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</si>
  <si>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00011625074056000140</t>
  </si>
  <si>
    <t>18811625074056000140</t>
  </si>
  <si>
    <t>18211628000016000140</t>
  </si>
  <si>
    <t>84311635030050000140</t>
  </si>
  <si>
    <t>17711643000016000140</t>
  </si>
  <si>
    <t>84311643000016000140</t>
  </si>
  <si>
    <t>17711690050056000140</t>
  </si>
  <si>
    <t>18211690050056000140</t>
  </si>
  <si>
    <t>90311701050050000180</t>
  </si>
  <si>
    <t>90311705050050000180</t>
  </si>
  <si>
    <t>00020210000000000150</t>
  </si>
  <si>
    <t>00020215001000000150</t>
  </si>
  <si>
    <t>00020215001050000150</t>
  </si>
  <si>
    <t>90820215001050000150</t>
  </si>
  <si>
    <t>00020215002000000150</t>
  </si>
  <si>
    <t>00020215002050000150</t>
  </si>
  <si>
    <t>90820215002050000150</t>
  </si>
  <si>
    <t>00020220000000000150</t>
  </si>
  <si>
    <t>00020220077000000150</t>
  </si>
  <si>
    <t>00020220077050000150</t>
  </si>
  <si>
    <t>90920220077050000150</t>
  </si>
  <si>
    <t>2113</t>
  </si>
  <si>
    <t>2114</t>
  </si>
  <si>
    <t>2115</t>
  </si>
  <si>
    <t>00020225497000000150</t>
  </si>
  <si>
    <t>00020225497050000150</t>
  </si>
  <si>
    <t>90220225497050000150</t>
  </si>
  <si>
    <t>00020225519000000150</t>
  </si>
  <si>
    <t>00020225519050000150</t>
  </si>
  <si>
    <t>90220225519050000150</t>
  </si>
  <si>
    <t>00020229999000000150</t>
  </si>
  <si>
    <t>00020229999050000150</t>
  </si>
  <si>
    <t>90220229999050000150</t>
  </si>
  <si>
    <t>90320229999050000150</t>
  </si>
  <si>
    <t>2117</t>
  </si>
  <si>
    <t>2118</t>
  </si>
  <si>
    <t>90820229999050000150</t>
  </si>
  <si>
    <t>2116</t>
  </si>
  <si>
    <t>90920229999050000150</t>
  </si>
  <si>
    <t>2119</t>
  </si>
  <si>
    <t>2120</t>
  </si>
  <si>
    <t>00020230000000000150</t>
  </si>
  <si>
    <t>00020230022000000150</t>
  </si>
  <si>
    <t>00020230022050000150</t>
  </si>
  <si>
    <t>90720230022050000150</t>
  </si>
  <si>
    <t>00020230024000000150</t>
  </si>
  <si>
    <t>00020230024050000150</t>
  </si>
  <si>
    <t>90320230024050000150</t>
  </si>
  <si>
    <t>90520230024050000150</t>
  </si>
  <si>
    <t>90920230024050000150</t>
  </si>
  <si>
    <t>00020235120000000150</t>
  </si>
  <si>
    <t>00020235120050000150</t>
  </si>
  <si>
    <t>90520235120050000150</t>
  </si>
  <si>
    <t>00020239999000000150</t>
  </si>
  <si>
    <t>00020239999050000150</t>
  </si>
  <si>
    <t>90320239999050000150</t>
  </si>
  <si>
    <t>00020240000000000150</t>
  </si>
  <si>
    <t>00020240014000000150</t>
  </si>
  <si>
    <t>00020240014050000150</t>
  </si>
  <si>
    <t>90520240014050000150</t>
  </si>
  <si>
    <t>90820240014050000150</t>
  </si>
  <si>
    <t>90920240014050000150</t>
  </si>
  <si>
    <t>91120240014050000150</t>
  </si>
  <si>
    <t>91220240014050000150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</si>
  <si>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</si>
  <si>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</si>
  <si>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</si>
  <si>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</si>
  <si>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90820249999050000150</t>
  </si>
  <si>
    <t>2305</t>
  </si>
  <si>
    <t>2306</t>
  </si>
  <si>
    <t>00020705000050000150</t>
  </si>
  <si>
    <t>00020705020050000150</t>
  </si>
  <si>
    <t>90320705020050000150</t>
  </si>
  <si>
    <t>00020705030050000150</t>
  </si>
  <si>
    <t>90220705030050000150</t>
  </si>
  <si>
    <t>90320705030050000150</t>
  </si>
  <si>
    <t>00021900000050000150</t>
  </si>
  <si>
    <t>00021960010050000150</t>
  </si>
  <si>
    <t>90321960010050000150</t>
  </si>
  <si>
    <t>90521960010050000150</t>
  </si>
  <si>
    <t>90721960010050000150</t>
  </si>
  <si>
    <t>90821960010050000150</t>
  </si>
  <si>
    <t>90921960010050000150</t>
  </si>
  <si>
    <t>91221960010050000150</t>
  </si>
  <si>
    <t>000 1 01 02010 01 0000 110</t>
  </si>
  <si>
    <t>000 1 01 02020 01 0000 110</t>
  </si>
  <si>
    <t>000 1 0 102030 01 0000 110</t>
  </si>
  <si>
    <t>000 1 01 02040 01 0000 110</t>
  </si>
  <si>
    <t>000 1 03 02230 01 0000 110</t>
  </si>
  <si>
    <t>000 1 03 02240 01 0000 110</t>
  </si>
  <si>
    <t>000 1 03 02250 01 0000 110</t>
  </si>
  <si>
    <t>000 1 03 02260 01 0000 110</t>
  </si>
  <si>
    <t>000 1 05 01010 01 0000 110</t>
  </si>
  <si>
    <t>000 1 05 01050 01 0000 110</t>
  </si>
  <si>
    <t>000 1 05 01020 01 0000 110</t>
  </si>
  <si>
    <t>000 1 05 02010 02 0000 110</t>
  </si>
  <si>
    <t>000 1 05 02020 02 0000 110</t>
  </si>
  <si>
    <r>
      <t>182105</t>
    </r>
    <r>
      <rPr>
        <sz val="8"/>
        <color rgb="FFFF0000"/>
        <rFont val="Arial Cyr"/>
        <charset val="204"/>
      </rPr>
      <t>03020</t>
    </r>
    <r>
      <rPr>
        <sz val="8"/>
        <rFont val="Arial Cyr"/>
      </rPr>
      <t>012100110</t>
    </r>
  </si>
  <si>
    <t>000 1 05 03020 01 0000 110</t>
  </si>
  <si>
    <t>000 1 05 04020 02 0000 110</t>
  </si>
  <si>
    <t>000 1 09 06010 02 0000 110</t>
  </si>
  <si>
    <t>908 1 13 02995 05 0000 130</t>
  </si>
  <si>
    <t>912 1 13 02995 05 0000 130</t>
  </si>
  <si>
    <t>000 1 14 06313 13 0000 430</t>
  </si>
  <si>
    <t>909 1 16 90050 05 0000 140</t>
  </si>
  <si>
    <t>908 1 17 05050 05 0000 180</t>
  </si>
  <si>
    <t>909 2 02 20077 05 0000 150</t>
  </si>
  <si>
    <t>908 2 02 40014 05 0000 150</t>
  </si>
  <si>
    <t>909 2 02 40014 05 0000 151</t>
  </si>
  <si>
    <t>902 2 19 05000 05 0000 150</t>
  </si>
  <si>
    <t>909 1 11 05313 05 0000 120</t>
  </si>
  <si>
    <t>000 1 11 05313 05 0000 120</t>
  </si>
  <si>
    <t>909 1 11 07015 05 0000 120</t>
  </si>
  <si>
    <t>000 1 11 07015 05 0000 120</t>
  </si>
  <si>
    <t>909 1 14 06025 05 0000 430</t>
  </si>
  <si>
    <t>000 1 14 06025 05 0000 430</t>
  </si>
  <si>
    <t>188 1 16 25074 05 0000 140</t>
  </si>
  <si>
    <t>000 1 16 25074 05 0000 140</t>
  </si>
  <si>
    <t>182 1 16 28000 01 0000 140</t>
  </si>
  <si>
    <t>843 1 16 35030 05 0000 140</t>
  </si>
  <si>
    <t>177 1 16 43000 01 6000 140</t>
  </si>
  <si>
    <t>182 1 16 90050 05 0000 140</t>
  </si>
  <si>
    <t>903 1 17 01050 05 0000 180</t>
  </si>
  <si>
    <t>903 1 17 05050 05 0000 180</t>
  </si>
  <si>
    <t>909 2 02 30024 05 0000 150</t>
  </si>
  <si>
    <t>908 2 02 49999 05 0000 150</t>
  </si>
  <si>
    <t>000 2 02 49999 05 0000 150</t>
  </si>
  <si>
    <t>902 20 7 05030 05 0000 150</t>
  </si>
  <si>
    <t>903 20 7 05030 05 0000 150</t>
  </si>
  <si>
    <t>909 2 19 05000 05 0000 150</t>
  </si>
  <si>
    <t>912 2 19 05000 05 0000 150</t>
  </si>
  <si>
    <r>
      <t>0,034³                       0,104⁴                                      0,111</t>
    </r>
    <r>
      <rPr>
        <sz val="9"/>
        <color theme="1"/>
        <rFont val="Calibri"/>
        <family val="2"/>
        <charset val="204"/>
      </rPr>
      <t>⁵</t>
    </r>
    <r>
      <rPr>
        <sz val="9"/>
        <color theme="1"/>
        <rFont val="Times New Roman"/>
        <family val="1"/>
        <charset val="204"/>
      </rPr>
      <t xml:space="preserve">                                            </t>
    </r>
  </si>
  <si>
    <t>О.В. Фокина</t>
  </si>
  <si>
    <t>Кассовое поступление в соответствии с решением Думы Тайшетского района от 28.05.2019г. № 218  за 2018 год</t>
  </si>
  <si>
    <t>Задолженность и перерасчеты по отмененным налогам, сборам и иным обязательным платежам</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</si>
  <si>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</si>
  <si>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</si>
  <si>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</si>
  <si>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</si>
  <si>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</si>
  <si>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100 1 03 02261 01 0000 110</t>
  </si>
  <si>
    <t>01.11.2019</t>
  </si>
  <si>
    <t>с 01.01.2019 по 31.10.2019</t>
  </si>
  <si>
    <t>с 01.01.2019 по 01.11.2019</t>
  </si>
  <si>
    <t>Поступление за Октябрь</t>
  </si>
  <si>
    <t>Поступление на 01.11.2019</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</si>
  <si>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</si>
  <si>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00011406313050000430</t>
  </si>
  <si>
    <t>90911406313050000430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</si>
  <si>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</si>
  <si>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00011633050056000140</t>
  </si>
  <si>
    <t>16111633050056000140</t>
  </si>
  <si>
    <t>2121</t>
  </si>
  <si>
    <t>90920705030050000150</t>
  </si>
  <si>
    <t>909 20 7 05030 05 0000 150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</si>
  <si>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</si>
  <si>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</si>
  <si>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</si>
  <si>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</si>
  <si>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000 2 02 25232 05 0000 150</t>
  </si>
  <si>
    <t>Субвенции бюджетам муниципальных районов на проведение Всероссийской переписи населения 2020 года</t>
  </si>
  <si>
    <t>000 2 02 35469 05 0000 150</t>
  </si>
  <si>
    <t>905 2 02 35469 05 0000 150</t>
  </si>
  <si>
    <r>
      <t xml:space="preserve"> 55</t>
    </r>
    <r>
      <rPr>
        <sz val="10"/>
        <rFont val="Times New Roman"/>
        <family val="1"/>
        <charset val="204"/>
      </rPr>
      <t>⁶</t>
    </r>
    <r>
      <rPr>
        <sz val="9"/>
        <rFont val="Times New Roman"/>
        <family val="1"/>
        <charset val="204"/>
      </rPr>
      <t xml:space="preserve">                          60</t>
    </r>
  </si>
  <si>
    <t>909 2 02 25232 05 0000 150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</si>
  <si>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</si>
  <si>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</si>
  <si>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</si>
  <si>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000 1 14 06313 05 0000 430</t>
  </si>
  <si>
    <t>909 1 14 06313 05 0000 430</t>
  </si>
  <si>
    <t>000 1 16 01053 01 0000 140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</si>
  <si>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</si>
  <si>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</si>
  <si>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</si>
  <si>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</si>
  <si>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</si>
  <si>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806 1 16 01203 01 0000 140</t>
  </si>
  <si>
    <t>Министерство социального развития, опеки и попечительства Иркутской области</t>
  </si>
  <si>
    <t>806 1 16 01063 01 0000 140</t>
  </si>
  <si>
    <t>806 1 16 01053 01 0000 140</t>
  </si>
  <si>
    <t>1 норматив зачисления в бюджет муниципального образования "Тайшетский район" от налога, взимаемого на территории сельских поселений Тайшетского района.
2 норматив зачисления в бюджет  муниципального образования "Тайшетский район" от налога, взимаемого на территории городских поселений Тайшетского района.                                                                                                                                                                                                                                                                                                                  3 норматив зачисления в бюджет муниципального образования "Тайшетский район", согласно Закона Иркутской области "Об областном бюджете на 2018 год и плановый период 2019-2020 годы" от 18.12.2017г. 98-ОЗ.                                                                                                                                                                                                                                                                                                                                                                        4 норматив зачисления в бюджет муниципального образования "Тайшетский район", согласно  Закона Иркутской области "Об областном бюджете на 2019 год и плановый период 2020-2021 годы от 17.12.2018г. 131-ОЗ.                                                                                                                                                                                                                                                                                                                                                                                            5 норматив зачисления в бюджет муниципального образования "Тайшетский район", согласно проекта Закона Иркутской области "Об областном бюджете на 2020 год и плановый период 2021-2022 годы.                                                                                                                                                                                                                                                                                                                                                                                                  6 норматив зачисления в бюджет муниципального образования "Тайшетский район", согласно ст.62 Бюджетного кодекс РФ  2019г. - 55%, с 2020г. - 60%.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</si>
</sst>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000"/>
    <numFmt numFmtId="165" formatCode="?"/>
    <numFmt numFmtId="166" formatCode="?.00"/>
    <numFmt numFmtId="167" formatCode="0.000"/>
    <numFmt numFmtId="168" formatCode="_-* #,##0.000\ _₽_-;\-* #,##0.000\ _₽_-;_-* &quot;-&quot;??\ _₽_-;_-@_-"/>
    <numFmt numFmtId="169" formatCode="_-* #,##0.000\ _₽_-;\-* #,##0.000\ _₽_-;_-* &quot;-&quot;???\ _₽_-;_-@_-"/>
    <numFmt numFmtId="170" formatCode="#,##0.0"/>
    <numFmt numFmtId="171" formatCode="0.0%"/>
    <numFmt numFmtId="172" formatCode="_-* #,##0.0\ _₽_-;\-* #,##0.0\ _₽_-;_-* &quot;-&quot;??\ _₽_-;_-@_-"/>
    <numFmt numFmtId="173" formatCode="_-* #,##0.0\ _₽_-;\-* #,##0.0\ _₽_-;_-* &quot;-&quot;?\ _₽_-;_-@_-"/>
  </numFmts>
  <fonts count="42" x14ac:knownFonts="1">
    <font>
      <sz val="10"/>
      <name val="Arial"/>
    </font>
    <font>
      <b/>
      <sz val="8.5"/>
      <name val="Times New Roman"/>
      <family val="1"/>
      <charset val="204"/>
    </font>
    <font>
      <sz val="8.5"/>
      <name val="MS Sans Serif"/>
      <family val="2"/>
      <charset val="204"/>
    </font>
    <font>
      <sz val="8.5"/>
      <name val="Times New Roman"/>
      <family val="1"/>
      <charset val="204"/>
    </font>
    <font>
      <sz val="10"/>
      <name val="Times New Roman"/>
      <family val="1"/>
      <charset val="204"/>
    </font>
    <font>
      <sz val="10"/>
      <name val="Arial Cyr"/>
    </font>
    <font>
      <b/>
      <sz val="12"/>
      <name val="Times New Roman"/>
      <family val="1"/>
      <charset val="204"/>
    </font>
    <font>
      <sz val="8"/>
      <name val="Arial Cyr"/>
    </font>
    <font>
      <b/>
      <sz val="8"/>
      <name val="Arial"/>
      <family val="2"/>
      <charset val="204"/>
    </font>
    <font>
      <b/>
      <sz val="8"/>
      <name val="Arial cyr"/>
    </font>
    <font>
      <sz val="10"/>
      <name val="Arial"/>
      <family val="2"/>
      <charset val="204"/>
    </font>
    <font>
      <b/>
      <sz val="9"/>
      <name val="Times New Roman"/>
      <family val="1"/>
      <charset val="204"/>
    </font>
    <font>
      <sz val="9"/>
      <name val="Times New Roman"/>
      <family val="1"/>
      <charset val="204"/>
    </font>
    <font>
      <b/>
      <sz val="9"/>
      <color rgb="FFFF0000"/>
      <name val="Times New Roman"/>
      <family val="1"/>
      <charset val="204"/>
    </font>
    <font>
      <sz val="9"/>
      <color rgb="FFFF0000"/>
      <name val="Times New Roman"/>
      <family val="1"/>
      <charset val="204"/>
    </font>
    <font>
      <sz val="8"/>
      <color rgb="FF000000"/>
      <name val="Arial"/>
      <family val="2"/>
      <charset val="204"/>
    </font>
    <font>
      <b/>
      <sz val="9"/>
      <color theme="1"/>
      <name val="Times New Roman"/>
      <family val="1"/>
      <charset val="204"/>
    </font>
    <font>
      <sz val="9"/>
      <color theme="1"/>
      <name val="Times New Roman"/>
      <family val="1"/>
      <charset val="204"/>
    </font>
    <font>
      <b/>
      <sz val="8"/>
      <color rgb="FFFF0000"/>
      <name val="Arial cyr"/>
    </font>
    <font>
      <b/>
      <sz val="9"/>
      <color theme="3"/>
      <name val="Arial cyr"/>
    </font>
    <font>
      <sz val="9"/>
      <color theme="3"/>
      <name val="Arial"/>
      <family val="2"/>
      <charset val="204"/>
    </font>
    <font>
      <b/>
      <sz val="8"/>
      <color rgb="FF00B050"/>
      <name val="Arial cyr"/>
    </font>
    <font>
      <sz val="10"/>
      <color rgb="FF00B050"/>
      <name val="Arial"/>
      <family val="2"/>
      <charset val="204"/>
    </font>
    <font>
      <b/>
      <sz val="9"/>
      <color theme="5"/>
      <name val="Arial cyr"/>
    </font>
    <font>
      <sz val="9"/>
      <color theme="5"/>
      <name val="Arial"/>
      <family val="2"/>
      <charset val="204"/>
    </font>
    <font>
      <b/>
      <sz val="9"/>
      <color rgb="FFFF0000"/>
      <name val="Arial cyr"/>
    </font>
    <font>
      <b/>
      <sz val="9"/>
      <color rgb="FF00B050"/>
      <name val="Arial cyr"/>
    </font>
    <font>
      <sz val="9"/>
      <color rgb="FF00B050"/>
      <name val="Arial"/>
      <family val="2"/>
      <charset val="204"/>
    </font>
    <font>
      <b/>
      <sz val="8"/>
      <color rgb="FFFF0000"/>
      <name val="Arial Cyr"/>
      <charset val="204"/>
    </font>
    <font>
      <sz val="14"/>
      <color theme="1"/>
      <name val="Times New Roman"/>
      <family val="1"/>
      <charset val="204"/>
    </font>
    <font>
      <b/>
      <sz val="9"/>
      <color theme="1"/>
      <name val="Arial cyr"/>
    </font>
    <font>
      <sz val="8"/>
      <color rgb="FFFF0000"/>
      <name val="Arial Cyr"/>
      <charset val="204"/>
    </font>
    <font>
      <b/>
      <sz val="9"/>
      <color theme="3"/>
      <name val="Times New Roman"/>
      <family val="1"/>
      <charset val="204"/>
    </font>
    <font>
      <sz val="9"/>
      <color theme="3"/>
      <name val="Times New Roman"/>
      <family val="1"/>
      <charset val="204"/>
    </font>
    <font>
      <sz val="10"/>
      <name val="Arial"/>
      <family val="2"/>
      <charset val="204"/>
    </font>
    <font>
      <sz val="10"/>
      <color rgb="FFFF0000"/>
      <name val="Times New Roman"/>
      <family val="1"/>
      <charset val="204"/>
    </font>
    <font>
      <sz val="8.5"/>
      <name val="MS Sans Serif"/>
    </font>
    <font>
      <b/>
      <sz val="10"/>
      <name val="Arial"/>
      <family val="2"/>
      <charset val="204"/>
    </font>
    <font>
      <sz val="8"/>
      <color rgb="FFFF0000"/>
      <name val="Arial Cyr"/>
    </font>
    <font>
      <sz val="10"/>
      <color rgb="FFFF0000"/>
      <name val="Arial"/>
      <family val="2"/>
      <charset val="204"/>
    </font>
    <font>
      <b/>
      <sz val="8"/>
      <name val="Arial Cyr"/>
      <charset val="204"/>
    </font>
    <font>
      <sz val="9"/>
      <color theme="1"/>
      <name val="Calibri"/>
      <family val="2"/>
      <charset val="204"/>
    </font>
  </fonts>
  <fills count="12">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39997558519241921"/>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3" fontId="10" fillId="0" borderId="0" applyFont="0" applyFill="0" applyBorder="0" applyAlignment="0" applyProtection="0"/>
    <xf numFmtId="0" fontId="15" fillId="0" borderId="7">
      <alignment horizontal="left" wrapText="1" indent="2"/>
    </xf>
    <xf numFmtId="49" fontId="15" fillId="0" borderId="8">
      <alignment horizontal="center"/>
    </xf>
    <xf numFmtId="9" fontId="34" fillId="0" borderId="0" applyFont="0" applyFill="0" applyBorder="0" applyAlignment="0" applyProtection="0"/>
  </cellStyleXfs>
  <cellXfs count="339">
    <xf numFmtId="0" fontId="0" fillId="0" borderId="0" xfId="0"/>
    <xf numFmtId="0" fontId="1" fillId="0" borderId="1" xfId="0" applyFont="1" applyBorder="1" applyAlignment="1" applyProtection="1"/>
    <xf numFmtId="0" fontId="2" fillId="0" borderId="0" xfId="0" applyFont="1" applyBorder="1" applyAlignment="1" applyProtection="1"/>
    <xf numFmtId="0" fontId="3" fillId="0" borderId="0" xfId="0" applyFont="1" applyBorder="1" applyAlignment="1" applyProtection="1"/>
    <xf numFmtId="49" fontId="2" fillId="0" borderId="0" xfId="0" applyNumberFormat="1" applyFont="1" applyBorder="1" applyAlignment="1" applyProtection="1">
      <alignment horizontal="right"/>
    </xf>
    <xf numFmtId="49" fontId="3" fillId="0" borderId="0" xfId="0" applyNumberFormat="1" applyFont="1" applyBorder="1" applyAlignment="1" applyProtection="1">
      <alignment horizontal="left"/>
    </xf>
    <xf numFmtId="0" fontId="4" fillId="0" borderId="0" xfId="0" applyFont="1" applyBorder="1" applyAlignment="1" applyProtection="1"/>
    <xf numFmtId="0" fontId="4" fillId="0" borderId="0" xfId="0" applyFont="1" applyBorder="1" applyAlignment="1" applyProtection="1">
      <alignment horizontal="center"/>
    </xf>
    <xf numFmtId="0" fontId="5" fillId="0" borderId="0" xfId="0" applyFont="1" applyBorder="1" applyAlignment="1" applyProtection="1"/>
    <xf numFmtId="49" fontId="7" fillId="0" borderId="0" xfId="0" applyNumberFormat="1" applyFont="1" applyBorder="1" applyAlignment="1" applyProtection="1">
      <alignment wrapText="1"/>
    </xf>
    <xf numFmtId="0" fontId="9" fillId="0" borderId="3" xfId="0" applyFont="1" applyBorder="1" applyAlignment="1" applyProtection="1">
      <alignment horizontal="center" vertical="center" wrapText="1"/>
    </xf>
    <xf numFmtId="49" fontId="9" fillId="0" borderId="3" xfId="0" applyNumberFormat="1" applyFont="1" applyBorder="1" applyAlignment="1" applyProtection="1">
      <alignment horizontal="left" vertical="center" wrapText="1"/>
    </xf>
    <xf numFmtId="49" fontId="9" fillId="0" borderId="3" xfId="0" applyNumberFormat="1" applyFont="1" applyBorder="1" applyAlignment="1" applyProtection="1">
      <alignment horizontal="center" vertical="center" wrapText="1"/>
    </xf>
    <xf numFmtId="164" fontId="9" fillId="0" borderId="3" xfId="0" applyNumberFormat="1" applyFont="1" applyBorder="1" applyAlignment="1" applyProtection="1">
      <alignment horizontal="right" vertical="center" wrapText="1"/>
    </xf>
    <xf numFmtId="165" fontId="9" fillId="0" borderId="3" xfId="0" applyNumberFormat="1" applyFont="1" applyBorder="1" applyAlignment="1" applyProtection="1">
      <alignment horizontal="left" vertical="center" wrapText="1"/>
    </xf>
    <xf numFmtId="49" fontId="7" fillId="0" borderId="3" xfId="0" applyNumberFormat="1" applyFont="1" applyBorder="1" applyAlignment="1" applyProtection="1">
      <alignment horizontal="left" vertical="center" wrapText="1"/>
    </xf>
    <xf numFmtId="49" fontId="7" fillId="0" borderId="3" xfId="0" applyNumberFormat="1" applyFont="1" applyBorder="1" applyAlignment="1" applyProtection="1">
      <alignment horizontal="center" vertical="center" wrapText="1"/>
    </xf>
    <xf numFmtId="164" fontId="7" fillId="0" borderId="3" xfId="0" applyNumberFormat="1" applyFont="1" applyBorder="1" applyAlignment="1" applyProtection="1">
      <alignment horizontal="right" vertical="center" wrapText="1"/>
    </xf>
    <xf numFmtId="165" fontId="7" fillId="0" borderId="3" xfId="0" applyNumberFormat="1" applyFont="1" applyBorder="1" applyAlignment="1" applyProtection="1">
      <alignment horizontal="left" vertical="center" wrapText="1"/>
    </xf>
    <xf numFmtId="49" fontId="7" fillId="2" borderId="3" xfId="0" applyNumberFormat="1" applyFont="1" applyFill="1" applyBorder="1" applyAlignment="1" applyProtection="1">
      <alignment horizontal="center" vertical="center" wrapText="1"/>
    </xf>
    <xf numFmtId="49" fontId="11" fillId="0" borderId="3" xfId="0" applyNumberFormat="1" applyFont="1" applyBorder="1" applyAlignment="1" applyProtection="1">
      <alignment horizontal="left" vertical="center" wrapText="1"/>
    </xf>
    <xf numFmtId="165" fontId="11" fillId="0" borderId="3" xfId="0" applyNumberFormat="1" applyFont="1" applyBorder="1" applyAlignment="1" applyProtection="1">
      <alignment horizontal="left" vertical="center" wrapText="1"/>
    </xf>
    <xf numFmtId="165" fontId="12" fillId="0" borderId="3" xfId="0" applyNumberFormat="1" applyFont="1" applyBorder="1" applyAlignment="1" applyProtection="1">
      <alignment horizontal="left" vertical="center" wrapText="1"/>
    </xf>
    <xf numFmtId="49" fontId="12" fillId="0" borderId="3" xfId="0" applyNumberFormat="1" applyFont="1" applyBorder="1" applyAlignment="1" applyProtection="1">
      <alignment horizontal="left" vertical="center" wrapText="1"/>
    </xf>
    <xf numFmtId="0" fontId="12" fillId="0" borderId="0" xfId="0" applyFont="1"/>
    <xf numFmtId="0" fontId="11" fillId="0" borderId="4" xfId="0" applyFont="1" applyBorder="1" applyAlignment="1" applyProtection="1">
      <alignment horizontal="center" vertical="center" wrapText="1"/>
    </xf>
    <xf numFmtId="0" fontId="12" fillId="0" borderId="0" xfId="0" applyFont="1" applyFill="1"/>
    <xf numFmtId="49" fontId="11" fillId="0" borderId="3" xfId="0" applyNumberFormat="1" applyFont="1" applyBorder="1" applyAlignment="1" applyProtection="1">
      <alignment horizontal="center" vertical="center" wrapText="1"/>
    </xf>
    <xf numFmtId="49" fontId="12" fillId="0" borderId="3" xfId="0" applyNumberFormat="1" applyFont="1" applyBorder="1" applyAlignment="1" applyProtection="1">
      <alignment horizontal="center" vertical="center" wrapText="1"/>
    </xf>
    <xf numFmtId="49" fontId="11" fillId="0" borderId="3" xfId="0" applyNumberFormat="1" applyFont="1" applyBorder="1" applyAlignment="1" applyProtection="1">
      <alignment horizontal="center" vertical="center"/>
    </xf>
    <xf numFmtId="165" fontId="12" fillId="0" borderId="3" xfId="0" applyNumberFormat="1" applyFont="1" applyBorder="1" applyAlignment="1" applyProtection="1">
      <alignment horizontal="center" vertical="center" wrapText="1"/>
    </xf>
    <xf numFmtId="43" fontId="11" fillId="0" borderId="3" xfId="1" applyFont="1" applyBorder="1" applyAlignment="1" applyProtection="1">
      <alignment horizontal="center" vertical="center" wrapText="1"/>
    </xf>
    <xf numFmtId="165" fontId="11" fillId="0" borderId="6" xfId="0" applyNumberFormat="1" applyFont="1" applyBorder="1" applyAlignment="1" applyProtection="1">
      <alignment horizontal="center" vertical="center" wrapText="1"/>
    </xf>
    <xf numFmtId="0" fontId="11" fillId="0" borderId="0" xfId="0" applyFont="1"/>
    <xf numFmtId="49" fontId="16" fillId="0" borderId="3" xfId="0" applyNumberFormat="1" applyFont="1" applyBorder="1" applyAlignment="1" applyProtection="1">
      <alignment horizontal="left" vertical="center" wrapText="1"/>
    </xf>
    <xf numFmtId="49" fontId="13" fillId="0" borderId="3" xfId="0" applyNumberFormat="1" applyFont="1" applyBorder="1" applyAlignment="1" applyProtection="1">
      <alignment horizontal="center" vertical="center" wrapText="1"/>
    </xf>
    <xf numFmtId="0" fontId="14" fillId="0" borderId="0" xfId="0" applyFont="1"/>
    <xf numFmtId="49" fontId="16" fillId="0" borderId="3" xfId="0" applyNumberFormat="1" applyFont="1" applyBorder="1" applyAlignment="1" applyProtection="1">
      <alignment horizontal="center" vertical="center" wrapText="1"/>
    </xf>
    <xf numFmtId="0" fontId="17" fillId="0" borderId="0" xfId="0" applyFont="1"/>
    <xf numFmtId="49" fontId="11" fillId="0" borderId="3"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center" vertical="center" wrapText="1"/>
    </xf>
    <xf numFmtId="49" fontId="12" fillId="0" borderId="3" xfId="0" applyNumberFormat="1" applyFont="1" applyFill="1" applyBorder="1" applyAlignment="1" applyProtection="1">
      <alignment horizontal="center" vertical="center" wrapText="1"/>
    </xf>
    <xf numFmtId="165" fontId="12" fillId="0" borderId="3" xfId="0" applyNumberFormat="1" applyFont="1" applyFill="1" applyBorder="1" applyAlignment="1" applyProtection="1">
      <alignment horizontal="left" vertical="center" wrapText="1"/>
    </xf>
    <xf numFmtId="165" fontId="16" fillId="0" borderId="3" xfId="0" applyNumberFormat="1" applyFont="1" applyBorder="1" applyAlignment="1" applyProtection="1">
      <alignment horizontal="left" vertical="center" wrapText="1"/>
    </xf>
    <xf numFmtId="164" fontId="9" fillId="2" borderId="3" xfId="0" applyNumberFormat="1" applyFont="1" applyFill="1" applyBorder="1" applyAlignment="1" applyProtection="1">
      <alignment horizontal="right" vertical="center" wrapText="1"/>
    </xf>
    <xf numFmtId="49" fontId="17" fillId="0" borderId="3" xfId="0" applyNumberFormat="1" applyFont="1" applyBorder="1" applyAlignment="1" applyProtection="1">
      <alignment horizontal="center" vertical="center" wrapText="1"/>
    </xf>
    <xf numFmtId="49" fontId="12" fillId="0" borderId="3" xfId="0" applyNumberFormat="1" applyFont="1" applyFill="1" applyBorder="1" applyAlignment="1" applyProtection="1">
      <alignment horizontal="left" vertical="center" wrapText="1"/>
    </xf>
    <xf numFmtId="49" fontId="17" fillId="0" borderId="3" xfId="0" applyNumberFormat="1" applyFont="1" applyFill="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165" fontId="12" fillId="0" borderId="6" xfId="0" applyNumberFormat="1" applyFont="1" applyBorder="1" applyAlignment="1" applyProtection="1">
      <alignment horizontal="center" vertical="center" wrapText="1"/>
    </xf>
    <xf numFmtId="49" fontId="17" fillId="0" borderId="3" xfId="0" applyNumberFormat="1" applyFont="1" applyBorder="1" applyAlignment="1" applyProtection="1">
      <alignment horizontal="left" vertical="center" wrapText="1"/>
    </xf>
    <xf numFmtId="4" fontId="17" fillId="0" borderId="3" xfId="0" applyNumberFormat="1" applyFont="1" applyFill="1" applyBorder="1" applyAlignment="1" applyProtection="1">
      <alignment horizontal="center" vertical="center" wrapText="1"/>
    </xf>
    <xf numFmtId="164" fontId="17" fillId="0" borderId="3" xfId="0" applyNumberFormat="1" applyFont="1" applyFill="1" applyBorder="1" applyAlignment="1" applyProtection="1">
      <alignment horizontal="center" vertical="center" wrapText="1"/>
    </xf>
    <xf numFmtId="49" fontId="11" fillId="0" borderId="0" xfId="0" applyNumberFormat="1" applyFont="1" applyBorder="1" applyAlignment="1" applyProtection="1">
      <alignment horizontal="center" vertical="center"/>
    </xf>
    <xf numFmtId="0" fontId="11" fillId="0" borderId="0" xfId="0" applyFont="1" applyAlignment="1">
      <alignment horizontal="right"/>
    </xf>
    <xf numFmtId="0" fontId="12" fillId="0" borderId="0" xfId="0" applyFont="1" applyBorder="1" applyAlignment="1">
      <alignment horizontal="left" wrapText="1"/>
    </xf>
    <xf numFmtId="0" fontId="12" fillId="0" borderId="1" xfId="0" applyFont="1" applyBorder="1" applyAlignment="1">
      <alignment horizontal="left" wrapText="1"/>
    </xf>
    <xf numFmtId="164" fontId="4" fillId="0" borderId="0" xfId="0" applyNumberFormat="1" applyFont="1" applyBorder="1" applyAlignment="1" applyProtection="1">
      <alignment horizontal="center"/>
    </xf>
    <xf numFmtId="49" fontId="19" fillId="0" borderId="3" xfId="0" applyNumberFormat="1" applyFont="1" applyBorder="1" applyAlignment="1" applyProtection="1">
      <alignment horizontal="left" vertical="center" wrapText="1"/>
    </xf>
    <xf numFmtId="49" fontId="19" fillId="0" borderId="3" xfId="0" applyNumberFormat="1" applyFont="1" applyBorder="1" applyAlignment="1" applyProtection="1">
      <alignment horizontal="center" vertical="center" wrapText="1"/>
    </xf>
    <xf numFmtId="164" fontId="19" fillId="0" borderId="3" xfId="0" applyNumberFormat="1" applyFont="1" applyBorder="1" applyAlignment="1" applyProtection="1">
      <alignment horizontal="right" vertical="center" wrapText="1"/>
    </xf>
    <xf numFmtId="164" fontId="19" fillId="3" borderId="3" xfId="0" applyNumberFormat="1" applyFont="1" applyFill="1" applyBorder="1" applyAlignment="1" applyProtection="1">
      <alignment horizontal="right" vertical="center" wrapText="1"/>
    </xf>
    <xf numFmtId="164" fontId="19" fillId="2" borderId="3" xfId="0" applyNumberFormat="1" applyFont="1" applyFill="1" applyBorder="1" applyAlignment="1" applyProtection="1">
      <alignment horizontal="right" vertical="center" wrapText="1"/>
    </xf>
    <xf numFmtId="164" fontId="20" fillId="0" borderId="0" xfId="0" applyNumberFormat="1" applyFont="1"/>
    <xf numFmtId="0" fontId="20" fillId="0" borderId="0" xfId="0" applyFont="1"/>
    <xf numFmtId="164" fontId="9" fillId="3" borderId="3" xfId="0" applyNumberFormat="1" applyFont="1" applyFill="1" applyBorder="1" applyAlignment="1" applyProtection="1">
      <alignment horizontal="right" vertical="center" wrapText="1"/>
    </xf>
    <xf numFmtId="164" fontId="0" fillId="0" borderId="0" xfId="0" applyNumberFormat="1"/>
    <xf numFmtId="49" fontId="21" fillId="0" borderId="3" xfId="0" applyNumberFormat="1" applyFont="1" applyBorder="1" applyAlignment="1" applyProtection="1">
      <alignment horizontal="left" vertical="center" wrapText="1"/>
    </xf>
    <xf numFmtId="49" fontId="21" fillId="0" borderId="3" xfId="0" applyNumberFormat="1" applyFont="1" applyBorder="1" applyAlignment="1" applyProtection="1">
      <alignment horizontal="center" vertical="center" wrapText="1"/>
    </xf>
    <xf numFmtId="164" fontId="21" fillId="0" borderId="3" xfId="0" applyNumberFormat="1" applyFont="1" applyBorder="1" applyAlignment="1" applyProtection="1">
      <alignment horizontal="right" vertical="center" wrapText="1"/>
    </xf>
    <xf numFmtId="164" fontId="21" fillId="3" borderId="3" xfId="0" applyNumberFormat="1" applyFont="1" applyFill="1" applyBorder="1" applyAlignment="1" applyProtection="1">
      <alignment horizontal="right" vertical="center" wrapText="1"/>
    </xf>
    <xf numFmtId="164" fontId="21" fillId="2" borderId="3" xfId="0" applyNumberFormat="1" applyFont="1" applyFill="1" applyBorder="1" applyAlignment="1" applyProtection="1">
      <alignment horizontal="right" vertical="center" wrapText="1"/>
    </xf>
    <xf numFmtId="0" fontId="22" fillId="0" borderId="0" xfId="0" applyFont="1"/>
    <xf numFmtId="49" fontId="23" fillId="0" borderId="3" xfId="0" applyNumberFormat="1" applyFont="1" applyBorder="1" applyAlignment="1" applyProtection="1">
      <alignment horizontal="left" vertical="center" wrapText="1"/>
    </xf>
    <xf numFmtId="49" fontId="23" fillId="2" borderId="3" xfId="0" applyNumberFormat="1" applyFont="1" applyFill="1" applyBorder="1" applyAlignment="1" applyProtection="1">
      <alignment horizontal="center" vertical="center" wrapText="1"/>
    </xf>
    <xf numFmtId="49" fontId="23" fillId="0" borderId="3" xfId="0" applyNumberFormat="1" applyFont="1" applyBorder="1" applyAlignment="1" applyProtection="1">
      <alignment horizontal="center" vertical="center" wrapText="1"/>
    </xf>
    <xf numFmtId="164" fontId="23" fillId="0" borderId="3" xfId="0" applyNumberFormat="1" applyFont="1" applyBorder="1" applyAlignment="1" applyProtection="1">
      <alignment horizontal="right" vertical="center" wrapText="1"/>
    </xf>
    <xf numFmtId="164" fontId="23" fillId="3" borderId="3" xfId="0" applyNumberFormat="1" applyFont="1" applyFill="1" applyBorder="1" applyAlignment="1" applyProtection="1">
      <alignment horizontal="right" vertical="center" wrapText="1"/>
    </xf>
    <xf numFmtId="164" fontId="23" fillId="2" borderId="3" xfId="0" applyNumberFormat="1" applyFont="1" applyFill="1" applyBorder="1" applyAlignment="1" applyProtection="1">
      <alignment horizontal="right" vertical="center" wrapText="1"/>
    </xf>
    <xf numFmtId="0" fontId="24" fillId="0" borderId="0" xfId="0" applyFont="1"/>
    <xf numFmtId="165" fontId="26" fillId="0" borderId="3" xfId="0" applyNumberFormat="1" applyFont="1" applyBorder="1" applyAlignment="1" applyProtection="1">
      <alignment horizontal="left" vertical="center" wrapText="1"/>
    </xf>
    <xf numFmtId="49" fontId="26" fillId="0" borderId="3" xfId="0" applyNumberFormat="1" applyFont="1" applyBorder="1" applyAlignment="1" applyProtection="1">
      <alignment horizontal="center" vertical="center" wrapText="1"/>
    </xf>
    <xf numFmtId="164" fontId="26" fillId="0" borderId="3" xfId="0" applyNumberFormat="1" applyFont="1" applyBorder="1" applyAlignment="1" applyProtection="1">
      <alignment horizontal="right" vertical="center" wrapText="1"/>
    </xf>
    <xf numFmtId="164" fontId="26" fillId="3" borderId="3" xfId="0" applyNumberFormat="1" applyFont="1" applyFill="1" applyBorder="1" applyAlignment="1" applyProtection="1">
      <alignment horizontal="right" vertical="center" wrapText="1"/>
    </xf>
    <xf numFmtId="164" fontId="26" fillId="2" borderId="3" xfId="0" applyNumberFormat="1" applyFont="1" applyFill="1" applyBorder="1" applyAlignment="1" applyProtection="1">
      <alignment horizontal="right" vertical="center" wrapText="1"/>
    </xf>
    <xf numFmtId="164" fontId="27" fillId="0" borderId="0" xfId="0" applyNumberFormat="1" applyFont="1"/>
    <xf numFmtId="0" fontId="27" fillId="0" borderId="0" xfId="0" applyFont="1"/>
    <xf numFmtId="165" fontId="19" fillId="0" borderId="3" xfId="0" applyNumberFormat="1" applyFont="1" applyBorder="1" applyAlignment="1" applyProtection="1">
      <alignment horizontal="left" vertical="center" wrapText="1"/>
    </xf>
    <xf numFmtId="164" fontId="7" fillId="2" borderId="3" xfId="0" applyNumberFormat="1" applyFont="1" applyFill="1" applyBorder="1" applyAlignment="1" applyProtection="1">
      <alignment horizontal="right" vertical="center" wrapText="1"/>
    </xf>
    <xf numFmtId="49" fontId="26" fillId="0" borderId="3" xfId="0" applyNumberFormat="1" applyFont="1" applyBorder="1" applyAlignment="1" applyProtection="1">
      <alignment horizontal="left" vertical="center" wrapText="1"/>
    </xf>
    <xf numFmtId="49" fontId="12" fillId="0" borderId="6" xfId="0" applyNumberFormat="1" applyFont="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4" fontId="13" fillId="0" borderId="3" xfId="0" applyNumberFormat="1"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164" fontId="14" fillId="0" borderId="3" xfId="0" applyNumberFormat="1" applyFont="1" applyFill="1" applyBorder="1" applyAlignment="1" applyProtection="1">
      <alignment horizontal="center" vertical="center" wrapText="1"/>
    </xf>
    <xf numFmtId="164" fontId="13" fillId="0" borderId="3" xfId="0" applyNumberFormat="1" applyFont="1" applyFill="1" applyBorder="1" applyAlignment="1" applyProtection="1">
      <alignment horizontal="center" vertical="center" wrapText="1"/>
    </xf>
    <xf numFmtId="4" fontId="13" fillId="0" borderId="3" xfId="0" applyNumberFormat="1" applyFont="1" applyFill="1" applyBorder="1" applyAlignment="1" applyProtection="1">
      <alignment horizontal="center" vertical="center"/>
    </xf>
    <xf numFmtId="4" fontId="13" fillId="0" borderId="0" xfId="0" applyNumberFormat="1" applyFont="1" applyFill="1" applyBorder="1" applyAlignment="1" applyProtection="1">
      <alignment horizontal="center" vertical="center"/>
    </xf>
    <xf numFmtId="4" fontId="13" fillId="0" borderId="0" xfId="0" applyNumberFormat="1" applyFont="1" applyFill="1" applyAlignment="1">
      <alignment horizontal="center"/>
    </xf>
    <xf numFmtId="0" fontId="14" fillId="0" borderId="0" xfId="0" applyFont="1" applyFill="1" applyAlignment="1">
      <alignment horizontal="center"/>
    </xf>
    <xf numFmtId="0" fontId="16" fillId="0" borderId="3" xfId="0" applyFont="1" applyBorder="1" applyAlignment="1" applyProtection="1">
      <alignment horizontal="center" vertical="center" wrapText="1"/>
    </xf>
    <xf numFmtId="0" fontId="0" fillId="2" borderId="0" xfId="0" applyFill="1"/>
    <xf numFmtId="164" fontId="30" fillId="4" borderId="3" xfId="0" applyNumberFormat="1" applyFont="1" applyFill="1" applyBorder="1" applyAlignment="1" applyProtection="1">
      <alignment horizontal="right" vertical="center" wrapText="1"/>
    </xf>
    <xf numFmtId="164" fontId="25" fillId="4" borderId="3" xfId="0" applyNumberFormat="1" applyFont="1" applyFill="1" applyBorder="1" applyAlignment="1" applyProtection="1">
      <alignment horizontal="right" vertical="center" wrapText="1"/>
    </xf>
    <xf numFmtId="49" fontId="9" fillId="0" borderId="3" xfId="0" applyNumberFormat="1" applyFont="1" applyFill="1" applyBorder="1" applyAlignment="1" applyProtection="1">
      <alignment horizontal="center" vertical="center" wrapText="1"/>
    </xf>
    <xf numFmtId="164" fontId="9" fillId="4" borderId="3" xfId="0" applyNumberFormat="1" applyFont="1" applyFill="1" applyBorder="1" applyAlignment="1" applyProtection="1">
      <alignment horizontal="right" vertical="center" wrapText="1"/>
    </xf>
    <xf numFmtId="164" fontId="18" fillId="4" borderId="3" xfId="0" applyNumberFormat="1" applyFont="1" applyFill="1" applyBorder="1" applyAlignment="1" applyProtection="1">
      <alignment horizontal="right" vertical="center" wrapText="1"/>
    </xf>
    <xf numFmtId="164" fontId="19" fillId="4" borderId="3" xfId="0" applyNumberFormat="1" applyFont="1" applyFill="1" applyBorder="1" applyAlignment="1" applyProtection="1">
      <alignment horizontal="right" vertical="center" wrapText="1"/>
    </xf>
    <xf numFmtId="49" fontId="21" fillId="2" borderId="3" xfId="0" applyNumberFormat="1" applyFont="1" applyFill="1" applyBorder="1" applyAlignment="1" applyProtection="1">
      <alignment horizontal="left" vertical="center" wrapText="1"/>
    </xf>
    <xf numFmtId="49" fontId="21" fillId="0" borderId="3" xfId="0" applyNumberFormat="1" applyFont="1" applyFill="1" applyBorder="1" applyAlignment="1" applyProtection="1">
      <alignment horizontal="center" vertical="center" wrapText="1"/>
    </xf>
    <xf numFmtId="164" fontId="21" fillId="4" borderId="3" xfId="0" applyNumberFormat="1" applyFont="1" applyFill="1" applyBorder="1" applyAlignment="1" applyProtection="1">
      <alignment horizontal="right" vertical="center" wrapText="1"/>
    </xf>
    <xf numFmtId="164" fontId="23" fillId="4" borderId="3" xfId="0" applyNumberFormat="1" applyFont="1" applyFill="1" applyBorder="1" applyAlignment="1" applyProtection="1">
      <alignment horizontal="right" vertical="center" wrapText="1"/>
    </xf>
    <xf numFmtId="164" fontId="26" fillId="4" borderId="3" xfId="0" applyNumberFormat="1" applyFont="1" applyFill="1" applyBorder="1" applyAlignment="1" applyProtection="1">
      <alignment horizontal="right" vertical="center" wrapText="1"/>
    </xf>
    <xf numFmtId="49" fontId="7" fillId="2" borderId="3" xfId="0" applyNumberFormat="1" applyFont="1" applyFill="1" applyBorder="1" applyAlignment="1" applyProtection="1">
      <alignment horizontal="left" vertical="center" wrapText="1"/>
    </xf>
    <xf numFmtId="49" fontId="32" fillId="0" borderId="3" xfId="0" applyNumberFormat="1" applyFont="1" applyBorder="1" applyAlignment="1" applyProtection="1">
      <alignment horizontal="left" vertical="center" wrapText="1"/>
    </xf>
    <xf numFmtId="49" fontId="33" fillId="0" borderId="3" xfId="0" applyNumberFormat="1" applyFont="1" applyBorder="1" applyAlignment="1" applyProtection="1">
      <alignment horizontal="left" vertical="center" wrapText="1"/>
    </xf>
    <xf numFmtId="165" fontId="33" fillId="0" borderId="3" xfId="0" applyNumberFormat="1" applyFont="1" applyBorder="1" applyAlignment="1" applyProtection="1">
      <alignment horizontal="left" vertical="center" wrapText="1"/>
    </xf>
    <xf numFmtId="165" fontId="7" fillId="2" borderId="3" xfId="0" applyNumberFormat="1" applyFont="1" applyFill="1" applyBorder="1" applyAlignment="1" applyProtection="1">
      <alignment horizontal="left" vertical="center" wrapText="1"/>
    </xf>
    <xf numFmtId="2" fontId="12" fillId="0" borderId="3" xfId="0" applyNumberFormat="1" applyFont="1" applyBorder="1" applyAlignment="1" applyProtection="1">
      <alignment horizontal="left" vertical="center" wrapText="1"/>
    </xf>
    <xf numFmtId="43" fontId="12" fillId="0" borderId="0" xfId="1" applyFont="1"/>
    <xf numFmtId="170" fontId="17" fillId="0" borderId="0" xfId="0" applyNumberFormat="1" applyFont="1" applyFill="1" applyAlignment="1">
      <alignment horizontal="right"/>
    </xf>
    <xf numFmtId="170" fontId="13" fillId="0" borderId="3" xfId="0" applyNumberFormat="1" applyFont="1" applyFill="1" applyBorder="1" applyAlignment="1" applyProtection="1">
      <alignment horizontal="center" vertical="center" wrapText="1"/>
    </xf>
    <xf numFmtId="170" fontId="17" fillId="0" borderId="3" xfId="0" applyNumberFormat="1" applyFont="1" applyFill="1" applyBorder="1" applyAlignment="1" applyProtection="1">
      <alignment horizontal="center" vertical="center" wrapText="1"/>
    </xf>
    <xf numFmtId="170" fontId="14" fillId="0" borderId="3" xfId="0" applyNumberFormat="1" applyFont="1" applyFill="1" applyBorder="1" applyAlignment="1" applyProtection="1">
      <alignment horizontal="center" vertical="center" wrapText="1"/>
    </xf>
    <xf numFmtId="170" fontId="13" fillId="0" borderId="3" xfId="0" applyNumberFormat="1" applyFont="1" applyFill="1" applyBorder="1"/>
    <xf numFmtId="170" fontId="14" fillId="0" borderId="3" xfId="0" applyNumberFormat="1" applyFont="1" applyFill="1" applyBorder="1"/>
    <xf numFmtId="170" fontId="13" fillId="0" borderId="0" xfId="0" applyNumberFormat="1" applyFont="1" applyFill="1" applyBorder="1" applyAlignment="1" applyProtection="1">
      <alignment horizontal="center" vertical="center"/>
    </xf>
    <xf numFmtId="170" fontId="13" fillId="0" borderId="0" xfId="0" applyNumberFormat="1" applyFont="1" applyFill="1" applyAlignment="1">
      <alignment horizontal="center"/>
    </xf>
    <xf numFmtId="170" fontId="14" fillId="0" borderId="0" xfId="0" applyNumberFormat="1" applyFont="1" applyFill="1" applyAlignment="1">
      <alignment horizontal="center"/>
    </xf>
    <xf numFmtId="170" fontId="13" fillId="0" borderId="0" xfId="0" applyNumberFormat="1" applyFont="1" applyFill="1"/>
    <xf numFmtId="170" fontId="14" fillId="0" borderId="0" xfId="0" applyNumberFormat="1" applyFont="1" applyFill="1"/>
    <xf numFmtId="170" fontId="16" fillId="0" borderId="3" xfId="0" applyNumberFormat="1" applyFont="1" applyFill="1" applyBorder="1" applyAlignment="1" applyProtection="1">
      <alignment horizontal="center" vertical="center" wrapText="1"/>
    </xf>
    <xf numFmtId="170" fontId="17" fillId="0" borderId="4" xfId="0" applyNumberFormat="1" applyFont="1" applyFill="1" applyBorder="1" applyAlignment="1" applyProtection="1">
      <alignment horizontal="center" vertical="center" wrapText="1"/>
    </xf>
    <xf numFmtId="170" fontId="17" fillId="0" borderId="5" xfId="0" applyNumberFormat="1" applyFont="1" applyFill="1" applyBorder="1" applyAlignment="1" applyProtection="1">
      <alignment horizontal="center" vertical="center" wrapText="1"/>
    </xf>
    <xf numFmtId="170" fontId="17" fillId="0" borderId="6" xfId="0" applyNumberFormat="1" applyFont="1" applyFill="1" applyBorder="1" applyAlignment="1" applyProtection="1">
      <alignment horizontal="center" vertical="center" wrapText="1"/>
    </xf>
    <xf numFmtId="166" fontId="11" fillId="0" borderId="5" xfId="0" applyNumberFormat="1" applyFont="1" applyBorder="1" applyAlignment="1" applyProtection="1">
      <alignment horizontal="center" vertical="center" wrapText="1"/>
    </xf>
    <xf numFmtId="166" fontId="11" fillId="0" borderId="6" xfId="0" applyNumberFormat="1" applyFont="1" applyBorder="1" applyAlignment="1" applyProtection="1">
      <alignment horizontal="center" vertical="center" wrapText="1"/>
    </xf>
    <xf numFmtId="49" fontId="12" fillId="0" borderId="5" xfId="0" applyNumberFormat="1" applyFont="1" applyBorder="1" applyAlignment="1" applyProtection="1">
      <alignment horizontal="center" vertical="center" wrapText="1"/>
    </xf>
    <xf numFmtId="49" fontId="12" fillId="0" borderId="6" xfId="0" applyNumberFormat="1" applyFont="1" applyBorder="1" applyAlignment="1" applyProtection="1">
      <alignment horizontal="center" vertical="center" wrapText="1"/>
    </xf>
    <xf numFmtId="165" fontId="12" fillId="0" borderId="5" xfId="0" applyNumberFormat="1" applyFont="1" applyBorder="1" applyAlignment="1" applyProtection="1">
      <alignment horizontal="left" vertical="center" wrapText="1"/>
    </xf>
    <xf numFmtId="4" fontId="17" fillId="0" borderId="5" xfId="0" applyNumberFormat="1" applyFont="1" applyFill="1" applyBorder="1" applyAlignment="1" applyProtection="1">
      <alignment horizontal="center" vertical="center" wrapText="1"/>
    </xf>
    <xf numFmtId="4" fontId="17" fillId="0" borderId="6" xfId="0" applyNumberFormat="1" applyFont="1" applyFill="1" applyBorder="1" applyAlignment="1" applyProtection="1">
      <alignment horizontal="center" vertical="center" wrapText="1"/>
    </xf>
    <xf numFmtId="2" fontId="12" fillId="0" borderId="5" xfId="0" applyNumberFormat="1" applyFont="1" applyBorder="1" applyAlignment="1" applyProtection="1">
      <alignment horizontal="left" vertical="center" wrapText="1"/>
    </xf>
    <xf numFmtId="49" fontId="12" fillId="0" borderId="6" xfId="0" applyNumberFormat="1" applyFont="1" applyBorder="1" applyAlignment="1" applyProtection="1">
      <alignment horizontal="left" vertical="center" wrapText="1"/>
    </xf>
    <xf numFmtId="170" fontId="17" fillId="0" borderId="4" xfId="0" applyNumberFormat="1" applyFont="1" applyFill="1" applyBorder="1" applyAlignment="1" applyProtection="1">
      <alignment horizontal="center" vertical="center" wrapText="1"/>
    </xf>
    <xf numFmtId="170" fontId="17" fillId="0" borderId="6" xfId="0" applyNumberFormat="1" applyFont="1" applyFill="1" applyBorder="1" applyAlignment="1" applyProtection="1">
      <alignment horizontal="center" vertical="center" wrapText="1"/>
    </xf>
    <xf numFmtId="49" fontId="12" fillId="0" borderId="4" xfId="0" applyNumberFormat="1" applyFont="1" applyBorder="1" applyAlignment="1" applyProtection="1">
      <alignment horizontal="center" vertical="center" wrapText="1"/>
    </xf>
    <xf numFmtId="49" fontId="12" fillId="0" borderId="6" xfId="0" applyNumberFormat="1" applyFont="1" applyBorder="1" applyAlignment="1" applyProtection="1">
      <alignment horizontal="center" vertical="center" wrapText="1"/>
    </xf>
    <xf numFmtId="49" fontId="12" fillId="0" borderId="4" xfId="0" applyNumberFormat="1" applyFont="1" applyBorder="1" applyAlignment="1" applyProtection="1">
      <alignment horizontal="left" vertical="center" wrapText="1"/>
    </xf>
    <xf numFmtId="170" fontId="17" fillId="0" borderId="5" xfId="0" applyNumberFormat="1" applyFont="1" applyFill="1" applyBorder="1" applyAlignment="1" applyProtection="1">
      <alignment horizontal="center" vertical="center" wrapText="1"/>
    </xf>
    <xf numFmtId="165" fontId="12" fillId="0" borderId="4" xfId="0" applyNumberFormat="1" applyFont="1" applyBorder="1" applyAlignment="1" applyProtection="1">
      <alignment horizontal="center" vertical="center" wrapText="1"/>
    </xf>
    <xf numFmtId="165" fontId="12" fillId="0" borderId="5" xfId="0" applyNumberFormat="1" applyFont="1" applyBorder="1" applyAlignment="1" applyProtection="1">
      <alignment horizontal="center" vertical="center" wrapText="1"/>
    </xf>
    <xf numFmtId="165" fontId="12" fillId="0" borderId="4" xfId="0" applyNumberFormat="1" applyFont="1" applyBorder="1" applyAlignment="1" applyProtection="1">
      <alignment horizontal="left" vertical="center" wrapText="1"/>
    </xf>
    <xf numFmtId="43" fontId="35" fillId="0" borderId="0" xfId="1" applyFont="1" applyBorder="1" applyAlignment="1" applyProtection="1"/>
    <xf numFmtId="2" fontId="23" fillId="0" borderId="3" xfId="0" applyNumberFormat="1" applyFont="1" applyBorder="1" applyAlignment="1" applyProtection="1">
      <alignment horizontal="left" vertical="center" wrapText="1"/>
    </xf>
    <xf numFmtId="164" fontId="0" fillId="2" borderId="0" xfId="0" applyNumberFormat="1" applyFill="1"/>
    <xf numFmtId="171" fontId="20" fillId="0" borderId="0" xfId="4" applyNumberFormat="1" applyFont="1"/>
    <xf numFmtId="0" fontId="36" fillId="0" borderId="0" xfId="0" applyFont="1" applyBorder="1" applyAlignment="1" applyProtection="1"/>
    <xf numFmtId="49" fontId="36" fillId="0" borderId="0" xfId="0" applyNumberFormat="1" applyFont="1" applyBorder="1" applyAlignment="1" applyProtection="1">
      <alignment horizontal="right"/>
    </xf>
    <xf numFmtId="164" fontId="4" fillId="0" borderId="0" xfId="0" applyNumberFormat="1" applyFont="1" applyBorder="1" applyAlignment="1" applyProtection="1"/>
    <xf numFmtId="49" fontId="9" fillId="3" borderId="3" xfId="0" applyNumberFormat="1" applyFont="1" applyFill="1" applyBorder="1" applyAlignment="1" applyProtection="1">
      <alignment horizontal="left" vertical="center" wrapText="1"/>
    </xf>
    <xf numFmtId="49" fontId="9" fillId="3" borderId="3" xfId="0" applyNumberFormat="1" applyFont="1" applyFill="1" applyBorder="1" applyAlignment="1" applyProtection="1">
      <alignment horizontal="center" vertical="center" wrapText="1"/>
    </xf>
    <xf numFmtId="164" fontId="9" fillId="5" borderId="3" xfId="0" applyNumberFormat="1" applyFont="1" applyFill="1" applyBorder="1" applyAlignment="1" applyProtection="1">
      <alignment horizontal="right" vertical="center" wrapText="1"/>
    </xf>
    <xf numFmtId="49" fontId="9" fillId="4" borderId="3" xfId="0" applyNumberFormat="1" applyFont="1" applyFill="1" applyBorder="1" applyAlignment="1" applyProtection="1">
      <alignment horizontal="left" vertical="center" wrapText="1"/>
    </xf>
    <xf numFmtId="49" fontId="9" fillId="4" borderId="3" xfId="0" applyNumberFormat="1" applyFont="1" applyFill="1" applyBorder="1" applyAlignment="1" applyProtection="1">
      <alignment horizontal="center" vertical="center" wrapText="1"/>
    </xf>
    <xf numFmtId="164" fontId="37" fillId="0" borderId="0" xfId="0" applyNumberFormat="1" applyFont="1"/>
    <xf numFmtId="165" fontId="7" fillId="3" borderId="3" xfId="0" applyNumberFormat="1" applyFont="1" applyFill="1" applyBorder="1" applyAlignment="1" applyProtection="1">
      <alignment horizontal="left" vertical="center" wrapText="1"/>
    </xf>
    <xf numFmtId="49" fontId="7" fillId="3" borderId="3" xfId="0" applyNumberFormat="1" applyFont="1" applyFill="1" applyBorder="1" applyAlignment="1" applyProtection="1">
      <alignment horizontal="center" vertical="center" wrapText="1"/>
    </xf>
    <xf numFmtId="164" fontId="7" fillId="3" borderId="3" xfId="0" applyNumberFormat="1" applyFont="1" applyFill="1" applyBorder="1" applyAlignment="1" applyProtection="1">
      <alignment horizontal="right" vertical="center" wrapText="1"/>
    </xf>
    <xf numFmtId="164" fontId="38" fillId="3" borderId="3" xfId="0" applyNumberFormat="1" applyFont="1" applyFill="1" applyBorder="1" applyAlignment="1" applyProtection="1">
      <alignment horizontal="right" vertical="center" wrapText="1"/>
    </xf>
    <xf numFmtId="49" fontId="7" fillId="3" borderId="3" xfId="0" applyNumberFormat="1" applyFont="1" applyFill="1" applyBorder="1" applyAlignment="1" applyProtection="1">
      <alignment horizontal="left" vertical="center" wrapText="1"/>
    </xf>
    <xf numFmtId="165" fontId="9" fillId="4" borderId="3" xfId="0" applyNumberFormat="1" applyFont="1" applyFill="1" applyBorder="1" applyAlignment="1" applyProtection="1">
      <alignment horizontal="left" vertical="center" wrapText="1"/>
    </xf>
    <xf numFmtId="165" fontId="18" fillId="4" borderId="3" xfId="0" applyNumberFormat="1" applyFont="1" applyFill="1" applyBorder="1" applyAlignment="1" applyProtection="1">
      <alignment horizontal="left" vertical="center" wrapText="1"/>
    </xf>
    <xf numFmtId="49" fontId="18" fillId="4" borderId="3" xfId="0" applyNumberFormat="1" applyFont="1" applyFill="1" applyBorder="1" applyAlignment="1" applyProtection="1">
      <alignment horizontal="center" vertical="center" wrapText="1"/>
    </xf>
    <xf numFmtId="164" fontId="18" fillId="5" borderId="3" xfId="0" applyNumberFormat="1" applyFont="1" applyFill="1" applyBorder="1" applyAlignment="1" applyProtection="1">
      <alignment horizontal="right" vertical="center" wrapText="1"/>
    </xf>
    <xf numFmtId="0" fontId="39" fillId="0" borderId="0" xfId="0" applyFont="1"/>
    <xf numFmtId="165" fontId="38" fillId="0" borderId="3" xfId="0" applyNumberFormat="1" applyFont="1" applyBorder="1" applyAlignment="1" applyProtection="1">
      <alignment horizontal="left" vertical="center" wrapText="1"/>
    </xf>
    <xf numFmtId="49" fontId="38" fillId="0" borderId="3" xfId="0" applyNumberFormat="1" applyFont="1" applyBorder="1" applyAlignment="1" applyProtection="1">
      <alignment horizontal="center" vertical="center" wrapText="1"/>
    </xf>
    <xf numFmtId="164" fontId="38" fillId="0" borderId="3" xfId="0" applyNumberFormat="1" applyFont="1" applyBorder="1" applyAlignment="1" applyProtection="1">
      <alignment horizontal="right" vertical="center" wrapText="1"/>
    </xf>
    <xf numFmtId="49" fontId="18" fillId="0" borderId="3" xfId="0" applyNumberFormat="1" applyFont="1" applyBorder="1" applyAlignment="1" applyProtection="1">
      <alignment horizontal="left" vertical="center" wrapText="1"/>
    </xf>
    <xf numFmtId="49" fontId="18" fillId="0" borderId="3" xfId="0" applyNumberFormat="1" applyFont="1" applyBorder="1" applyAlignment="1" applyProtection="1">
      <alignment horizontal="center" vertical="center" wrapText="1"/>
    </xf>
    <xf numFmtId="164" fontId="18" fillId="0" borderId="3" xfId="0" applyNumberFormat="1" applyFont="1" applyBorder="1" applyAlignment="1" applyProtection="1">
      <alignment horizontal="right" vertical="center" wrapText="1"/>
    </xf>
    <xf numFmtId="49" fontId="38" fillId="2" borderId="3" xfId="0" applyNumberFormat="1" applyFont="1" applyFill="1" applyBorder="1" applyAlignment="1" applyProtection="1">
      <alignment horizontal="left" vertical="center" wrapText="1"/>
    </xf>
    <xf numFmtId="49" fontId="38" fillId="2" borderId="3" xfId="0" applyNumberFormat="1" applyFont="1" applyFill="1" applyBorder="1" applyAlignment="1" applyProtection="1">
      <alignment horizontal="center" vertical="center" wrapText="1"/>
    </xf>
    <xf numFmtId="164" fontId="38" fillId="2" borderId="3" xfId="0" applyNumberFormat="1" applyFont="1" applyFill="1" applyBorder="1" applyAlignment="1" applyProtection="1">
      <alignment horizontal="right" vertical="center" wrapText="1"/>
    </xf>
    <xf numFmtId="0" fontId="39" fillId="2" borderId="0" xfId="0" applyFont="1" applyFill="1"/>
    <xf numFmtId="165" fontId="38" fillId="2" borderId="3" xfId="0" applyNumberFormat="1" applyFont="1" applyFill="1" applyBorder="1" applyAlignment="1" applyProtection="1">
      <alignment horizontal="left" vertical="center" wrapText="1"/>
    </xf>
    <xf numFmtId="49" fontId="40" fillId="0" borderId="3" xfId="0" applyNumberFormat="1" applyFont="1" applyBorder="1" applyAlignment="1" applyProtection="1">
      <alignment horizontal="left" vertical="center" wrapText="1"/>
    </xf>
    <xf numFmtId="49" fontId="40" fillId="0" borderId="3" xfId="0" applyNumberFormat="1" applyFont="1" applyBorder="1" applyAlignment="1" applyProtection="1">
      <alignment horizontal="center" vertical="center" wrapText="1"/>
    </xf>
    <xf numFmtId="164" fontId="28" fillId="0" borderId="3" xfId="0" applyNumberFormat="1" applyFont="1" applyBorder="1" applyAlignment="1" applyProtection="1">
      <alignment horizontal="right" vertical="center" wrapText="1"/>
    </xf>
    <xf numFmtId="164" fontId="31" fillId="0" borderId="3" xfId="0" applyNumberFormat="1" applyFont="1" applyBorder="1" applyAlignment="1" applyProtection="1">
      <alignment horizontal="right" vertical="center" wrapText="1"/>
    </xf>
    <xf numFmtId="165" fontId="9" fillId="6" borderId="3" xfId="0" applyNumberFormat="1" applyFont="1" applyFill="1" applyBorder="1" applyAlignment="1" applyProtection="1">
      <alignment horizontal="left" vertical="center" wrapText="1"/>
    </xf>
    <xf numFmtId="49" fontId="9" fillId="6" borderId="3" xfId="0" applyNumberFormat="1" applyFont="1" applyFill="1" applyBorder="1" applyAlignment="1" applyProtection="1">
      <alignment horizontal="center" vertical="center" wrapText="1"/>
    </xf>
    <xf numFmtId="164" fontId="9" fillId="6" borderId="3" xfId="0" applyNumberFormat="1" applyFont="1" applyFill="1" applyBorder="1" applyAlignment="1" applyProtection="1">
      <alignment horizontal="right" vertical="center" wrapText="1"/>
    </xf>
    <xf numFmtId="0" fontId="0" fillId="6" borderId="0" xfId="0" applyFill="1"/>
    <xf numFmtId="49" fontId="9" fillId="6" borderId="3" xfId="0" applyNumberFormat="1" applyFont="1" applyFill="1" applyBorder="1" applyAlignment="1" applyProtection="1">
      <alignment horizontal="left" vertical="center" wrapText="1"/>
    </xf>
    <xf numFmtId="0" fontId="11" fillId="0" borderId="0"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4" xfId="0" applyFont="1" applyBorder="1" applyAlignment="1" applyProtection="1">
      <alignment horizontal="left" vertical="center" wrapText="1"/>
    </xf>
    <xf numFmtId="165" fontId="11" fillId="0" borderId="5" xfId="0" applyNumberFormat="1" applyFont="1" applyBorder="1" applyAlignment="1" applyProtection="1">
      <alignment horizontal="center" vertical="center" wrapText="1"/>
    </xf>
    <xf numFmtId="49" fontId="11" fillId="0" borderId="4" xfId="0" applyNumberFormat="1" applyFont="1" applyBorder="1" applyAlignment="1" applyProtection="1">
      <alignment horizontal="center" vertical="center" wrapText="1"/>
    </xf>
    <xf numFmtId="164" fontId="13" fillId="0" borderId="4" xfId="0" applyNumberFormat="1" applyFont="1" applyFill="1" applyBorder="1" applyAlignment="1" applyProtection="1">
      <alignment horizontal="center" vertical="center" wrapText="1"/>
    </xf>
    <xf numFmtId="49" fontId="9" fillId="0" borderId="3" xfId="0" applyNumberFormat="1" applyFont="1" applyFill="1" applyBorder="1" applyAlignment="1" applyProtection="1">
      <alignment horizontal="left" vertical="center" wrapText="1"/>
    </xf>
    <xf numFmtId="164" fontId="9" fillId="0" borderId="3" xfId="0" applyNumberFormat="1" applyFont="1" applyFill="1" applyBorder="1" applyAlignment="1" applyProtection="1">
      <alignment horizontal="right" vertical="center" wrapText="1"/>
    </xf>
    <xf numFmtId="0" fontId="0" fillId="0" borderId="0" xfId="0" applyFill="1"/>
    <xf numFmtId="164" fontId="14" fillId="0" borderId="4" xfId="0" applyNumberFormat="1" applyFont="1" applyFill="1" applyBorder="1" applyAlignment="1" applyProtection="1">
      <alignment horizontal="center" vertical="center" wrapText="1"/>
    </xf>
    <xf numFmtId="49" fontId="11" fillId="0" borderId="4" xfId="0" applyNumberFormat="1" applyFont="1" applyBorder="1" applyAlignment="1" applyProtection="1">
      <alignment horizontal="left" vertical="center" wrapText="1"/>
    </xf>
    <xf numFmtId="43" fontId="11" fillId="0" borderId="4" xfId="1" applyFont="1" applyBorder="1" applyAlignment="1" applyProtection="1">
      <alignment horizontal="center" vertical="center" wrapText="1"/>
    </xf>
    <xf numFmtId="170" fontId="17" fillId="0" borderId="4" xfId="0" applyNumberFormat="1" applyFont="1" applyFill="1" applyBorder="1" applyAlignment="1">
      <alignment horizontal="center"/>
    </xf>
    <xf numFmtId="170" fontId="16" fillId="0" borderId="3" xfId="0" applyNumberFormat="1" applyFont="1" applyFill="1" applyBorder="1"/>
    <xf numFmtId="49" fontId="11" fillId="0" borderId="4" xfId="0" applyNumberFormat="1" applyFont="1" applyFill="1" applyBorder="1" applyAlignment="1" applyProtection="1">
      <alignment horizontal="left" vertical="center" wrapText="1"/>
    </xf>
    <xf numFmtId="49" fontId="11" fillId="0" borderId="4" xfId="0" applyNumberFormat="1" applyFont="1" applyFill="1" applyBorder="1" applyAlignment="1" applyProtection="1">
      <alignment horizontal="center" vertical="center" wrapText="1"/>
    </xf>
    <xf numFmtId="49" fontId="12" fillId="0" borderId="4" xfId="0" applyNumberFormat="1" applyFont="1" applyFill="1" applyBorder="1" applyAlignment="1" applyProtection="1">
      <alignment horizontal="left" vertical="center" wrapText="1"/>
    </xf>
    <xf numFmtId="49" fontId="12" fillId="0" borderId="4" xfId="0" applyNumberFormat="1" applyFont="1" applyFill="1" applyBorder="1" applyAlignment="1" applyProtection="1">
      <alignment horizontal="center" vertical="center" wrapText="1"/>
    </xf>
    <xf numFmtId="165" fontId="7" fillId="6" borderId="3" xfId="0" applyNumberFormat="1" applyFont="1" applyFill="1" applyBorder="1" applyAlignment="1" applyProtection="1">
      <alignment horizontal="left" vertical="center" wrapText="1"/>
    </xf>
    <xf numFmtId="49" fontId="7" fillId="6" borderId="3" xfId="0" applyNumberFormat="1" applyFont="1" applyFill="1" applyBorder="1" applyAlignment="1" applyProtection="1">
      <alignment horizontal="center" vertical="center" wrapText="1"/>
    </xf>
    <xf numFmtId="164" fontId="7" fillId="6" borderId="3" xfId="0" applyNumberFormat="1" applyFont="1" applyFill="1" applyBorder="1" applyAlignment="1" applyProtection="1">
      <alignment horizontal="right" vertical="center" wrapText="1"/>
    </xf>
    <xf numFmtId="49" fontId="7" fillId="6" borderId="3" xfId="0" applyNumberFormat="1" applyFont="1" applyFill="1" applyBorder="1" applyAlignment="1" applyProtection="1">
      <alignment horizontal="left" vertical="center" wrapText="1"/>
    </xf>
    <xf numFmtId="164" fontId="0" fillId="6" borderId="0" xfId="0" applyNumberFormat="1" applyFill="1"/>
    <xf numFmtId="49" fontId="7" fillId="7" borderId="3" xfId="0" applyNumberFormat="1" applyFont="1" applyFill="1" applyBorder="1" applyAlignment="1" applyProtection="1">
      <alignment horizontal="left" vertical="center" wrapText="1"/>
    </xf>
    <xf numFmtId="49" fontId="7" fillId="7" borderId="3" xfId="0" applyNumberFormat="1" applyFont="1" applyFill="1" applyBorder="1" applyAlignment="1" applyProtection="1">
      <alignment horizontal="center" vertical="center" wrapText="1"/>
    </xf>
    <xf numFmtId="164" fontId="7" fillId="7" borderId="3" xfId="0" applyNumberFormat="1" applyFont="1" applyFill="1" applyBorder="1" applyAlignment="1" applyProtection="1">
      <alignment horizontal="right" vertical="center" wrapText="1"/>
    </xf>
    <xf numFmtId="0" fontId="0" fillId="7" borderId="0" xfId="0" applyFill="1"/>
    <xf numFmtId="164" fontId="0" fillId="3" borderId="0" xfId="0" applyNumberFormat="1" applyFill="1"/>
    <xf numFmtId="0" fontId="0" fillId="3" borderId="0" xfId="0" applyFill="1"/>
    <xf numFmtId="49" fontId="7" fillId="8" borderId="3" xfId="0" applyNumberFormat="1" applyFont="1" applyFill="1" applyBorder="1" applyAlignment="1" applyProtection="1">
      <alignment horizontal="left" vertical="center" wrapText="1"/>
    </xf>
    <xf numFmtId="49" fontId="7" fillId="8" borderId="3" xfId="0" applyNumberFormat="1" applyFont="1" applyFill="1" applyBorder="1" applyAlignment="1" applyProtection="1">
      <alignment horizontal="center" vertical="center" wrapText="1"/>
    </xf>
    <xf numFmtId="164" fontId="7" fillId="8" borderId="3" xfId="0" applyNumberFormat="1" applyFont="1" applyFill="1" applyBorder="1" applyAlignment="1" applyProtection="1">
      <alignment horizontal="right" vertical="center" wrapText="1"/>
    </xf>
    <xf numFmtId="164" fontId="0" fillId="8" borderId="0" xfId="0" applyNumberFormat="1" applyFill="1"/>
    <xf numFmtId="0" fontId="0" fillId="8" borderId="0" xfId="0" applyFill="1"/>
    <xf numFmtId="49" fontId="7" fillId="9" borderId="3" xfId="0" applyNumberFormat="1" applyFont="1" applyFill="1" applyBorder="1" applyAlignment="1" applyProtection="1">
      <alignment horizontal="left" vertical="center" wrapText="1"/>
    </xf>
    <xf numFmtId="49" fontId="7" fillId="9" borderId="3" xfId="0" applyNumberFormat="1" applyFont="1" applyFill="1" applyBorder="1" applyAlignment="1" applyProtection="1">
      <alignment horizontal="center" vertical="center" wrapText="1"/>
    </xf>
    <xf numFmtId="164" fontId="7" fillId="9" borderId="3" xfId="0" applyNumberFormat="1" applyFont="1" applyFill="1" applyBorder="1" applyAlignment="1" applyProtection="1">
      <alignment horizontal="right" vertical="center" wrapText="1"/>
    </xf>
    <xf numFmtId="164" fontId="38" fillId="9" borderId="3" xfId="0" applyNumberFormat="1" applyFont="1" applyFill="1" applyBorder="1" applyAlignment="1" applyProtection="1">
      <alignment horizontal="right" vertical="center" wrapText="1"/>
    </xf>
    <xf numFmtId="0" fontId="0" fillId="9" borderId="0" xfId="0" applyFill="1"/>
    <xf numFmtId="164" fontId="0" fillId="9" borderId="0" xfId="0" applyNumberFormat="1" applyFill="1"/>
    <xf numFmtId="170" fontId="17" fillId="0" borderId="4" xfId="0" applyNumberFormat="1" applyFont="1" applyFill="1" applyBorder="1" applyAlignment="1" applyProtection="1">
      <alignment horizontal="center" vertical="center" wrapText="1"/>
    </xf>
    <xf numFmtId="170" fontId="17" fillId="0" borderId="6" xfId="0" applyNumberFormat="1" applyFont="1" applyFill="1" applyBorder="1" applyAlignment="1" applyProtection="1">
      <alignment horizontal="center" vertical="center" wrapText="1"/>
    </xf>
    <xf numFmtId="170" fontId="17" fillId="0" borderId="5" xfId="0" applyNumberFormat="1" applyFont="1" applyFill="1" applyBorder="1" applyAlignment="1" applyProtection="1">
      <alignment horizontal="center" vertical="center" wrapText="1"/>
    </xf>
    <xf numFmtId="170" fontId="16" fillId="0" borderId="3" xfId="0" applyNumberFormat="1" applyFont="1" applyFill="1" applyBorder="1" applyAlignment="1" applyProtection="1">
      <alignment horizontal="center" vertical="center"/>
    </xf>
    <xf numFmtId="43" fontId="33" fillId="0" borderId="0" xfId="1" applyFont="1"/>
    <xf numFmtId="168" fontId="33" fillId="0" borderId="0" xfId="1" applyNumberFormat="1" applyFont="1"/>
    <xf numFmtId="0" fontId="33" fillId="0" borderId="0" xfId="0" applyFont="1"/>
    <xf numFmtId="49" fontId="33" fillId="0" borderId="3" xfId="0" applyNumberFormat="1" applyFont="1" applyBorder="1" applyAlignment="1" applyProtection="1">
      <alignment horizontal="center" vertical="center" wrapText="1"/>
    </xf>
    <xf numFmtId="4" fontId="33" fillId="0" borderId="3" xfId="0" applyNumberFormat="1" applyFont="1" applyFill="1" applyBorder="1" applyAlignment="1" applyProtection="1">
      <alignment horizontal="center" vertical="center" wrapText="1"/>
    </xf>
    <xf numFmtId="170" fontId="33" fillId="0" borderId="3" xfId="0" applyNumberFormat="1" applyFont="1" applyFill="1" applyBorder="1" applyAlignment="1" applyProtection="1">
      <alignment horizontal="center" vertical="center" wrapText="1"/>
    </xf>
    <xf numFmtId="170" fontId="17" fillId="0" borderId="4" xfId="0" applyNumberFormat="1" applyFont="1" applyFill="1" applyBorder="1" applyAlignment="1" applyProtection="1">
      <alignment horizontal="center" vertical="center" wrapText="1"/>
    </xf>
    <xf numFmtId="170" fontId="17" fillId="0" borderId="5" xfId="0" applyNumberFormat="1" applyFont="1" applyFill="1" applyBorder="1" applyAlignment="1" applyProtection="1">
      <alignment horizontal="center" vertical="center" wrapText="1"/>
    </xf>
    <xf numFmtId="170" fontId="17" fillId="0" borderId="6" xfId="0" applyNumberFormat="1" applyFont="1" applyFill="1" applyBorder="1" applyAlignment="1" applyProtection="1">
      <alignment horizontal="center" vertical="center" wrapText="1"/>
    </xf>
    <xf numFmtId="165" fontId="7" fillId="0" borderId="3" xfId="0" applyNumberFormat="1" applyFont="1" applyFill="1" applyBorder="1" applyAlignment="1" applyProtection="1">
      <alignment horizontal="left" vertical="center" wrapText="1"/>
    </xf>
    <xf numFmtId="49" fontId="7" fillId="0" borderId="3" xfId="0" applyNumberFormat="1" applyFont="1" applyFill="1" applyBorder="1" applyAlignment="1" applyProtection="1">
      <alignment horizontal="center" vertical="center" wrapText="1"/>
    </xf>
    <xf numFmtId="164" fontId="7" fillId="0" borderId="3" xfId="0" applyNumberFormat="1" applyFont="1" applyFill="1" applyBorder="1" applyAlignment="1" applyProtection="1">
      <alignment horizontal="right" vertical="center" wrapText="1"/>
    </xf>
    <xf numFmtId="164" fontId="14" fillId="0" borderId="3" xfId="0" applyNumberFormat="1" applyFont="1" applyFill="1" applyBorder="1"/>
    <xf numFmtId="43" fontId="33" fillId="0" borderId="0" xfId="1" applyFont="1" applyFill="1"/>
    <xf numFmtId="168" fontId="33" fillId="0" borderId="0" xfId="1" applyNumberFormat="1" applyFont="1" applyFill="1"/>
    <xf numFmtId="0" fontId="33" fillId="0" borderId="0" xfId="0" applyFont="1" applyFill="1"/>
    <xf numFmtId="9" fontId="33" fillId="0" borderId="0" xfId="4" applyFont="1"/>
    <xf numFmtId="43" fontId="32" fillId="0" borderId="0" xfId="1" applyFont="1"/>
    <xf numFmtId="169" fontId="33" fillId="0" borderId="0" xfId="0" applyNumberFormat="1" applyFont="1"/>
    <xf numFmtId="49" fontId="32" fillId="0" borderId="3" xfId="0" applyNumberFormat="1" applyFont="1" applyBorder="1" applyAlignment="1" applyProtection="1">
      <alignment horizontal="center" vertical="center" wrapText="1"/>
    </xf>
    <xf numFmtId="0" fontId="1" fillId="10" borderId="1" xfId="0" applyFont="1" applyFill="1" applyBorder="1" applyAlignment="1" applyProtection="1"/>
    <xf numFmtId="0" fontId="4" fillId="10" borderId="0" xfId="0" applyFont="1" applyFill="1" applyBorder="1" applyAlignment="1" applyProtection="1">
      <alignment horizontal="center"/>
    </xf>
    <xf numFmtId="164" fontId="9" fillId="10" borderId="3" xfId="0" applyNumberFormat="1" applyFont="1" applyFill="1" applyBorder="1" applyAlignment="1" applyProtection="1">
      <alignment horizontal="right" vertical="center" wrapText="1"/>
    </xf>
    <xf numFmtId="164" fontId="7" fillId="10" borderId="3" xfId="0" applyNumberFormat="1" applyFont="1" applyFill="1" applyBorder="1" applyAlignment="1" applyProtection="1">
      <alignment horizontal="right" vertical="center" wrapText="1"/>
    </xf>
    <xf numFmtId="0" fontId="0" fillId="10" borderId="0" xfId="0" applyFill="1"/>
    <xf numFmtId="164" fontId="9" fillId="11" borderId="3" xfId="0" applyNumberFormat="1" applyFont="1" applyFill="1" applyBorder="1" applyAlignment="1" applyProtection="1">
      <alignment horizontal="right" vertical="center" wrapText="1"/>
    </xf>
    <xf numFmtId="164" fontId="7" fillId="11" borderId="3" xfId="0" applyNumberFormat="1" applyFont="1" applyFill="1" applyBorder="1" applyAlignment="1" applyProtection="1">
      <alignment horizontal="right" vertical="center" wrapText="1"/>
    </xf>
    <xf numFmtId="170" fontId="16" fillId="0" borderId="0" xfId="0" applyNumberFormat="1" applyFont="1" applyFill="1" applyBorder="1" applyAlignment="1" applyProtection="1">
      <alignment horizontal="center" vertical="center" wrapText="1"/>
    </xf>
    <xf numFmtId="170" fontId="13" fillId="0" borderId="0" xfId="0" applyNumberFormat="1" applyFont="1" applyFill="1" applyBorder="1" applyAlignment="1" applyProtection="1">
      <alignment horizontal="center" vertical="center" wrapText="1"/>
    </xf>
    <xf numFmtId="170" fontId="14" fillId="0" borderId="0" xfId="0" applyNumberFormat="1" applyFont="1" applyFill="1" applyBorder="1" applyAlignment="1" applyProtection="1">
      <alignment horizontal="center" vertical="center" wrapText="1"/>
    </xf>
    <xf numFmtId="170" fontId="14" fillId="0" borderId="0" xfId="0" applyNumberFormat="1" applyFont="1" applyFill="1" applyBorder="1"/>
    <xf numFmtId="170" fontId="13" fillId="0" borderId="0" xfId="0" applyNumberFormat="1" applyFont="1" applyFill="1" applyBorder="1"/>
    <xf numFmtId="170" fontId="14" fillId="0" borderId="0" xfId="0" applyNumberFormat="1" applyFont="1" applyFill="1" applyBorder="1" applyAlignment="1">
      <alignment horizontal="center"/>
    </xf>
    <xf numFmtId="170" fontId="33" fillId="0" borderId="0" xfId="0" applyNumberFormat="1" applyFont="1" applyFill="1" applyBorder="1" applyAlignment="1" applyProtection="1">
      <alignment horizontal="center" vertical="center" wrapText="1"/>
    </xf>
    <xf numFmtId="170" fontId="17" fillId="0" borderId="0" xfId="0" applyNumberFormat="1" applyFont="1" applyFill="1" applyBorder="1" applyAlignment="1" applyProtection="1">
      <alignment horizontal="center" vertical="center" wrapText="1"/>
    </xf>
    <xf numFmtId="170" fontId="16" fillId="0" borderId="0" xfId="0" applyNumberFormat="1" applyFont="1" applyFill="1" applyAlignment="1">
      <alignment horizontal="center"/>
    </xf>
    <xf numFmtId="170" fontId="17" fillId="0" borderId="0" xfId="0" applyNumberFormat="1" applyFont="1" applyFill="1" applyAlignment="1">
      <alignment horizontal="center"/>
    </xf>
    <xf numFmtId="9" fontId="14" fillId="0" borderId="0" xfId="4" applyFont="1" applyFill="1" applyBorder="1" applyAlignment="1" applyProtection="1">
      <alignment horizontal="center" vertical="center" wrapText="1"/>
    </xf>
    <xf numFmtId="168" fontId="33" fillId="0" borderId="0" xfId="1" applyNumberFormat="1" applyFont="1" applyAlignment="1">
      <alignment vertical="center"/>
    </xf>
    <xf numFmtId="9" fontId="33" fillId="0" borderId="0" xfId="4" applyFont="1" applyFill="1" applyBorder="1" applyAlignment="1" applyProtection="1">
      <alignment horizontal="center" vertical="center" wrapText="1"/>
    </xf>
    <xf numFmtId="169" fontId="33" fillId="0" borderId="0" xfId="1" applyNumberFormat="1" applyFont="1" applyAlignment="1">
      <alignment vertical="center"/>
    </xf>
    <xf numFmtId="172" fontId="33" fillId="0" borderId="0" xfId="1" applyNumberFormat="1" applyFont="1"/>
    <xf numFmtId="170" fontId="17" fillId="0" borderId="3" xfId="0" applyNumberFormat="1" applyFont="1" applyFill="1" applyBorder="1"/>
    <xf numFmtId="9" fontId="33" fillId="0" borderId="0" xfId="4" applyFont="1" applyAlignment="1">
      <alignment horizontal="center"/>
    </xf>
    <xf numFmtId="173" fontId="33" fillId="0" borderId="0" xfId="0" applyNumberFormat="1" applyFont="1"/>
    <xf numFmtId="0" fontId="8" fillId="0" borderId="3" xfId="0" applyFont="1" applyBorder="1" applyAlignment="1" applyProtection="1">
      <alignment horizontal="center" vertical="center" wrapText="1"/>
    </xf>
    <xf numFmtId="0" fontId="3" fillId="0" borderId="2" xfId="0" applyFont="1" applyBorder="1" applyAlignment="1" applyProtection="1">
      <alignment horizontal="left"/>
    </xf>
    <xf numFmtId="0" fontId="6" fillId="0" borderId="0" xfId="0" applyFont="1" applyBorder="1" applyAlignment="1" applyProtection="1">
      <alignment horizontal="center"/>
    </xf>
    <xf numFmtId="49" fontId="7" fillId="0" borderId="0" xfId="0" applyNumberFormat="1" applyFont="1" applyBorder="1" applyAlignment="1" applyProtection="1">
      <alignment horizontal="left" wrapText="1"/>
    </xf>
    <xf numFmtId="0" fontId="8" fillId="10" borderId="3" xfId="0" applyFont="1" applyFill="1" applyBorder="1" applyAlignment="1" applyProtection="1">
      <alignment horizontal="center" vertical="center" wrapText="1"/>
    </xf>
    <xf numFmtId="170" fontId="17" fillId="0" borderId="4" xfId="0" applyNumberFormat="1" applyFont="1" applyFill="1" applyBorder="1" applyAlignment="1" applyProtection="1">
      <alignment horizontal="center" vertical="center" wrapText="1"/>
    </xf>
    <xf numFmtId="170" fontId="17" fillId="0" borderId="6" xfId="0" applyNumberFormat="1" applyFont="1" applyFill="1" applyBorder="1" applyAlignment="1" applyProtection="1">
      <alignment horizontal="center" vertical="center" wrapText="1"/>
    </xf>
    <xf numFmtId="165" fontId="12" fillId="0" borderId="4" xfId="0" applyNumberFormat="1" applyFont="1" applyBorder="1" applyAlignment="1" applyProtection="1">
      <alignment horizontal="center" vertical="center" wrapText="1"/>
    </xf>
    <xf numFmtId="165" fontId="12" fillId="0" borderId="6" xfId="0" applyNumberFormat="1" applyFont="1" applyBorder="1" applyAlignment="1" applyProtection="1">
      <alignment horizontal="center" vertical="center" wrapText="1"/>
    </xf>
    <xf numFmtId="49" fontId="12" fillId="0" borderId="4" xfId="0" applyNumberFormat="1" applyFont="1" applyBorder="1" applyAlignment="1" applyProtection="1">
      <alignment horizontal="center" vertical="center" wrapText="1"/>
    </xf>
    <xf numFmtId="49" fontId="12" fillId="0" borderId="6" xfId="0" applyNumberFormat="1" applyFont="1" applyBorder="1" applyAlignment="1" applyProtection="1">
      <alignment horizontal="center" vertical="center" wrapText="1"/>
    </xf>
    <xf numFmtId="49" fontId="12" fillId="0" borderId="4" xfId="0" applyNumberFormat="1" applyFont="1" applyBorder="1" applyAlignment="1" applyProtection="1">
      <alignment horizontal="left" vertical="center" wrapText="1"/>
    </xf>
    <xf numFmtId="49" fontId="12" fillId="0" borderId="6" xfId="0" applyNumberFormat="1" applyFont="1" applyBorder="1" applyAlignment="1" applyProtection="1">
      <alignment horizontal="left" vertical="center" wrapText="1"/>
    </xf>
    <xf numFmtId="170" fontId="33" fillId="0" borderId="4" xfId="0" applyNumberFormat="1" applyFont="1" applyFill="1" applyBorder="1" applyAlignment="1" applyProtection="1">
      <alignment horizontal="center" vertical="center" wrapText="1"/>
    </xf>
    <xf numFmtId="170" fontId="33" fillId="0" borderId="6" xfId="0" applyNumberFormat="1" applyFont="1" applyFill="1" applyBorder="1" applyAlignment="1" applyProtection="1">
      <alignment horizontal="center" vertical="center" wrapText="1"/>
    </xf>
    <xf numFmtId="0" fontId="12" fillId="0" borderId="0" xfId="0" applyFont="1" applyBorder="1" applyAlignment="1">
      <alignment horizontal="left" wrapText="1"/>
    </xf>
    <xf numFmtId="49" fontId="33" fillId="0" borderId="4" xfId="0" applyNumberFormat="1" applyFont="1" applyBorder="1" applyAlignment="1" applyProtection="1">
      <alignment horizontal="center" vertical="center" wrapText="1"/>
    </xf>
    <xf numFmtId="49" fontId="33" fillId="0" borderId="6" xfId="0" applyNumberFormat="1" applyFont="1" applyBorder="1" applyAlignment="1" applyProtection="1">
      <alignment horizontal="center" vertical="center" wrapText="1"/>
    </xf>
    <xf numFmtId="49" fontId="33" fillId="0" borderId="4" xfId="0" applyNumberFormat="1" applyFont="1" applyBorder="1" applyAlignment="1" applyProtection="1">
      <alignment horizontal="left" vertical="center" wrapText="1"/>
    </xf>
    <xf numFmtId="49" fontId="33" fillId="0" borderId="6" xfId="0" applyNumberFormat="1" applyFont="1" applyBorder="1" applyAlignment="1" applyProtection="1">
      <alignment horizontal="left" vertical="center" wrapText="1"/>
    </xf>
    <xf numFmtId="4" fontId="33" fillId="0" borderId="4" xfId="0" applyNumberFormat="1" applyFont="1" applyFill="1" applyBorder="1" applyAlignment="1" applyProtection="1">
      <alignment horizontal="center" vertical="center" wrapText="1"/>
    </xf>
    <xf numFmtId="4" fontId="33" fillId="0" borderId="6" xfId="0" applyNumberFormat="1" applyFont="1" applyFill="1" applyBorder="1" applyAlignment="1" applyProtection="1">
      <alignment horizontal="center" vertical="center" wrapText="1"/>
    </xf>
    <xf numFmtId="4" fontId="17" fillId="0" borderId="4" xfId="0" applyNumberFormat="1" applyFont="1" applyFill="1" applyBorder="1" applyAlignment="1" applyProtection="1">
      <alignment horizontal="center" vertical="center" wrapText="1"/>
    </xf>
    <xf numFmtId="4" fontId="17" fillId="0" borderId="6" xfId="0" applyNumberFormat="1" applyFont="1" applyFill="1" applyBorder="1" applyAlignment="1" applyProtection="1">
      <alignment horizontal="center" vertical="center" wrapText="1"/>
    </xf>
    <xf numFmtId="0" fontId="12" fillId="0" borderId="0" xfId="0" applyFont="1" applyBorder="1" applyAlignment="1">
      <alignment horizontal="center" wrapText="1"/>
    </xf>
    <xf numFmtId="0" fontId="17" fillId="0" borderId="2" xfId="0" applyFont="1" applyBorder="1" applyAlignment="1">
      <alignment horizontal="left" wrapText="1"/>
    </xf>
    <xf numFmtId="170" fontId="17" fillId="0" borderId="5" xfId="0" applyNumberFormat="1" applyFont="1" applyFill="1" applyBorder="1" applyAlignment="1" applyProtection="1">
      <alignment horizontal="center" vertical="center" wrapText="1"/>
    </xf>
    <xf numFmtId="49" fontId="12" fillId="0" borderId="5" xfId="0" applyNumberFormat="1" applyFont="1" applyBorder="1" applyAlignment="1" applyProtection="1">
      <alignment horizontal="center" vertical="center" wrapText="1"/>
    </xf>
    <xf numFmtId="49" fontId="12" fillId="0" borderId="5" xfId="0" applyNumberFormat="1" applyFont="1" applyBorder="1" applyAlignment="1" applyProtection="1">
      <alignment horizontal="left" vertical="center" wrapText="1"/>
    </xf>
    <xf numFmtId="4" fontId="17" fillId="0" borderId="5" xfId="0" applyNumberFormat="1" applyFont="1" applyFill="1" applyBorder="1" applyAlignment="1" applyProtection="1">
      <alignment horizontal="center" vertical="center" wrapText="1"/>
    </xf>
    <xf numFmtId="49" fontId="17" fillId="0" borderId="4" xfId="0" applyNumberFormat="1" applyFont="1" applyBorder="1" applyAlignment="1" applyProtection="1">
      <alignment horizontal="center" vertical="center" wrapText="1"/>
    </xf>
    <xf numFmtId="49" fontId="17" fillId="0" borderId="5" xfId="0" applyNumberFormat="1" applyFont="1" applyBorder="1" applyAlignment="1" applyProtection="1">
      <alignment horizontal="center" vertical="center" wrapText="1"/>
    </xf>
    <xf numFmtId="49" fontId="17" fillId="0" borderId="6" xfId="0" applyNumberFormat="1" applyFont="1" applyBorder="1" applyAlignment="1" applyProtection="1">
      <alignment horizontal="center" vertical="center" wrapText="1"/>
    </xf>
    <xf numFmtId="165" fontId="12" fillId="0" borderId="5" xfId="0" applyNumberFormat="1" applyFont="1" applyBorder="1" applyAlignment="1" applyProtection="1">
      <alignment horizontal="center" vertical="center" wrapText="1"/>
    </xf>
    <xf numFmtId="165" fontId="12" fillId="0" borderId="4" xfId="0" applyNumberFormat="1" applyFont="1" applyBorder="1" applyAlignment="1" applyProtection="1">
      <alignment horizontal="left" vertical="center" wrapText="1"/>
    </xf>
    <xf numFmtId="165" fontId="12" fillId="0" borderId="5" xfId="0" applyNumberFormat="1" applyFont="1" applyBorder="1" applyAlignment="1" applyProtection="1">
      <alignment horizontal="left" vertical="center" wrapText="1"/>
    </xf>
    <xf numFmtId="165" fontId="12" fillId="0" borderId="6" xfId="0" applyNumberFormat="1" applyFont="1" applyBorder="1" applyAlignment="1" applyProtection="1">
      <alignment horizontal="left" vertical="center" wrapText="1"/>
    </xf>
    <xf numFmtId="170" fontId="14" fillId="0" borderId="4" xfId="0" applyNumberFormat="1" applyFont="1" applyFill="1" applyBorder="1" applyAlignment="1" applyProtection="1">
      <alignment horizontal="center" vertical="center" wrapText="1"/>
    </xf>
    <xf numFmtId="170" fontId="14" fillId="0" borderId="5" xfId="0" applyNumberFormat="1" applyFont="1" applyFill="1" applyBorder="1" applyAlignment="1" applyProtection="1">
      <alignment horizontal="center" vertical="center" wrapText="1"/>
    </xf>
    <xf numFmtId="170" fontId="14" fillId="0" borderId="6" xfId="0" applyNumberFormat="1" applyFont="1" applyFill="1" applyBorder="1" applyAlignment="1" applyProtection="1">
      <alignment horizontal="center" vertical="center" wrapText="1"/>
    </xf>
    <xf numFmtId="167" fontId="17" fillId="0" borderId="4" xfId="0" applyNumberFormat="1" applyFont="1" applyBorder="1" applyAlignment="1" applyProtection="1">
      <alignment horizontal="center" vertical="center" wrapText="1"/>
    </xf>
    <xf numFmtId="167" fontId="17" fillId="0" borderId="5" xfId="0" applyNumberFormat="1" applyFont="1" applyBorder="1" applyAlignment="1" applyProtection="1">
      <alignment horizontal="center" vertical="center" wrapText="1"/>
    </xf>
    <xf numFmtId="167" fontId="17" fillId="0" borderId="6" xfId="0" applyNumberFormat="1" applyFont="1" applyBorder="1" applyAlignment="1" applyProtection="1">
      <alignment horizontal="center" vertical="center" wrapText="1"/>
    </xf>
    <xf numFmtId="166" fontId="12" fillId="0" borderId="4" xfId="0" applyNumberFormat="1" applyFont="1" applyBorder="1" applyAlignment="1" applyProtection="1">
      <alignment horizontal="center" vertical="center" wrapText="1"/>
    </xf>
    <xf numFmtId="166" fontId="11" fillId="0" borderId="5" xfId="0" applyNumberFormat="1" applyFont="1" applyBorder="1" applyAlignment="1" applyProtection="1">
      <alignment horizontal="center" vertical="center" wrapText="1"/>
    </xf>
    <xf numFmtId="166" fontId="11" fillId="0" borderId="6" xfId="0" applyNumberFormat="1" applyFont="1" applyBorder="1" applyAlignment="1" applyProtection="1">
      <alignment horizontal="center" vertical="center" wrapText="1"/>
    </xf>
    <xf numFmtId="0" fontId="29" fillId="0" borderId="1" xfId="0" applyFont="1" applyFill="1" applyBorder="1" applyAlignment="1" applyProtection="1">
      <alignment horizontal="center" vertical="center"/>
    </xf>
    <xf numFmtId="0" fontId="16" fillId="0" borderId="3" xfId="0" applyFont="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70" fontId="16" fillId="0" borderId="3" xfId="0" applyNumberFormat="1" applyFont="1" applyFill="1" applyBorder="1" applyAlignment="1" applyProtection="1">
      <alignment horizontal="center" vertical="center" wrapText="1"/>
    </xf>
    <xf numFmtId="2" fontId="12" fillId="0" borderId="4" xfId="0" applyNumberFormat="1" applyFont="1" applyBorder="1" applyAlignment="1" applyProtection="1">
      <alignment horizontal="left" vertical="center" wrapText="1"/>
    </xf>
    <xf numFmtId="2" fontId="12" fillId="0" borderId="5" xfId="0" applyNumberFormat="1" applyFont="1" applyBorder="1" applyAlignment="1" applyProtection="1">
      <alignment horizontal="left" vertical="center" wrapText="1"/>
    </xf>
    <xf numFmtId="2" fontId="12" fillId="0" borderId="6" xfId="0" applyNumberFormat="1" applyFont="1" applyBorder="1" applyAlignment="1" applyProtection="1">
      <alignment horizontal="left" vertical="center" wrapText="1"/>
    </xf>
  </cellXfs>
  <cellStyles count="5">
    <cellStyle name="xl34" xfId="2"/>
    <cellStyle name="xl52" xfId="3"/>
    <cellStyle name="Обычный" xfId="0" builtinId="0"/>
    <cellStyle name="Процентный" xfId="4" builtin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3"/>
  <sheetViews>
    <sheetView showGridLines="0" workbookViewId="0">
      <pane ySplit="10" topLeftCell="A323" activePane="bottomLeft" state="frozen"/>
      <selection pane="bottomLeft" activeCell="H89" sqref="H89"/>
    </sheetView>
  </sheetViews>
  <sheetFormatPr defaultRowHeight="12.75" customHeight="1" x14ac:dyDescent="0.2"/>
  <cols>
    <col min="1" max="1" width="44.7109375" customWidth="1"/>
    <col min="2" max="2" width="20.7109375" customWidth="1"/>
    <col min="3" max="4" width="7.85546875" customWidth="1"/>
    <col min="5" max="10" width="16.7109375" customWidth="1"/>
    <col min="11" max="11" width="10.85546875" bestFit="1" customWidth="1"/>
    <col min="12" max="12" width="12.28515625" bestFit="1" customWidth="1"/>
    <col min="13" max="13" width="13.7109375" customWidth="1"/>
    <col min="14" max="14" width="12.42578125" customWidth="1"/>
  </cols>
  <sheetData>
    <row r="1" spans="1:12" ht="12.75" customHeight="1" x14ac:dyDescent="0.2">
      <c r="A1" s="1" t="s">
        <v>2</v>
      </c>
      <c r="B1" s="1"/>
      <c r="C1" s="1"/>
      <c r="D1" s="1"/>
      <c r="E1" s="1"/>
      <c r="F1" s="1"/>
      <c r="G1" s="1"/>
      <c r="H1" s="1"/>
      <c r="I1" s="2"/>
      <c r="J1" s="3"/>
    </row>
    <row r="2" spans="1:12" ht="12.75" customHeight="1" x14ac:dyDescent="0.2">
      <c r="A2" s="287" t="s">
        <v>0</v>
      </c>
      <c r="B2" s="287"/>
      <c r="C2" s="287"/>
      <c r="D2" s="287"/>
      <c r="E2" s="287"/>
      <c r="F2" s="287"/>
      <c r="G2" s="287"/>
      <c r="H2" s="287"/>
      <c r="I2" s="4" t="s">
        <v>3</v>
      </c>
      <c r="J2" s="5" t="s">
        <v>838</v>
      </c>
    </row>
    <row r="3" spans="1:12" ht="12.75" customHeight="1" x14ac:dyDescent="0.2">
      <c r="A3" s="6"/>
      <c r="B3" s="7"/>
      <c r="C3" s="7"/>
      <c r="D3" s="7"/>
      <c r="E3" s="7"/>
      <c r="F3" s="7"/>
      <c r="G3" s="7"/>
      <c r="H3" s="6"/>
      <c r="I3" s="8"/>
      <c r="J3" s="6"/>
    </row>
    <row r="4" spans="1:12" ht="16.5" customHeight="1" x14ac:dyDescent="0.25">
      <c r="A4" s="288" t="s">
        <v>1</v>
      </c>
      <c r="B4" s="288"/>
      <c r="C4" s="288"/>
      <c r="D4" s="288"/>
      <c r="E4" s="288"/>
      <c r="F4" s="288"/>
      <c r="G4" s="288"/>
      <c r="H4" s="288"/>
      <c r="I4" s="288"/>
      <c r="J4" s="288"/>
    </row>
    <row r="5" spans="1:12" ht="18" customHeight="1" x14ac:dyDescent="0.25">
      <c r="A5" s="288" t="s">
        <v>839</v>
      </c>
      <c r="B5" s="288"/>
      <c r="C5" s="288"/>
      <c r="D5" s="288"/>
      <c r="E5" s="288"/>
      <c r="F5" s="288"/>
      <c r="G5" s="288"/>
      <c r="H5" s="288"/>
      <c r="I5" s="288"/>
      <c r="J5" s="288"/>
    </row>
    <row r="6" spans="1:12" ht="12.75" customHeight="1" x14ac:dyDescent="0.2">
      <c r="A6" s="6"/>
      <c r="B6" s="7"/>
      <c r="C6" s="7"/>
      <c r="D6" s="7"/>
      <c r="E6" s="7"/>
      <c r="F6" s="7"/>
      <c r="G6" s="7"/>
      <c r="H6" s="6"/>
      <c r="I6" s="8"/>
      <c r="J6" s="6"/>
    </row>
    <row r="7" spans="1:12" x14ac:dyDescent="0.2">
      <c r="A7" s="9" t="s">
        <v>4</v>
      </c>
      <c r="B7" s="289" t="s">
        <v>5</v>
      </c>
      <c r="C7" s="289"/>
      <c r="D7" s="289"/>
      <c r="E7" s="289"/>
      <c r="F7" s="289"/>
      <c r="G7" s="289"/>
      <c r="H7" s="289"/>
      <c r="I7" s="289"/>
      <c r="J7" s="289"/>
    </row>
    <row r="8" spans="1:12" ht="12.75" customHeight="1" x14ac:dyDescent="0.2">
      <c r="A8" s="6"/>
      <c r="B8" s="7"/>
      <c r="C8" s="7"/>
      <c r="D8" s="7"/>
      <c r="E8" s="7"/>
      <c r="F8" s="7"/>
      <c r="G8" s="7"/>
      <c r="H8" s="154">
        <f>H13+H48+H58+H122</f>
        <v>453388.83799999999</v>
      </c>
      <c r="I8" s="8" t="s">
        <v>518</v>
      </c>
      <c r="J8" s="6"/>
    </row>
    <row r="9" spans="1:12" ht="39.75" customHeight="1" x14ac:dyDescent="0.2">
      <c r="A9" s="286" t="s">
        <v>6</v>
      </c>
      <c r="B9" s="286" t="s">
        <v>7</v>
      </c>
      <c r="C9" s="286" t="s">
        <v>8</v>
      </c>
      <c r="D9" s="286" t="s">
        <v>9</v>
      </c>
      <c r="E9" s="286" t="s">
        <v>10</v>
      </c>
      <c r="F9" s="286" t="s">
        <v>11</v>
      </c>
      <c r="G9" s="286" t="s">
        <v>840</v>
      </c>
      <c r="H9" s="286" t="s">
        <v>841</v>
      </c>
      <c r="I9" s="10" t="s">
        <v>12</v>
      </c>
      <c r="J9" s="10" t="s">
        <v>14</v>
      </c>
    </row>
    <row r="10" spans="1:12" ht="18.2" customHeight="1" x14ac:dyDescent="0.2">
      <c r="A10" s="286"/>
      <c r="B10" s="286"/>
      <c r="C10" s="286"/>
      <c r="D10" s="286"/>
      <c r="E10" s="286"/>
      <c r="F10" s="286"/>
      <c r="G10" s="286"/>
      <c r="H10" s="286"/>
      <c r="I10" s="10" t="s">
        <v>13</v>
      </c>
      <c r="J10" s="10" t="s">
        <v>13</v>
      </c>
    </row>
    <row r="11" spans="1:12" s="65" customFormat="1" ht="24" x14ac:dyDescent="0.2">
      <c r="A11" s="59" t="s">
        <v>15</v>
      </c>
      <c r="B11" s="60" t="s">
        <v>16</v>
      </c>
      <c r="C11" s="60"/>
      <c r="D11" s="60"/>
      <c r="E11" s="61">
        <v>512335.54800000001</v>
      </c>
      <c r="F11" s="62">
        <v>523749.95299999998</v>
      </c>
      <c r="G11" s="103">
        <v>60825.709000000003</v>
      </c>
      <c r="H11" s="104">
        <v>531339.97</v>
      </c>
      <c r="I11" s="104">
        <v>103.709</v>
      </c>
      <c r="J11" s="63">
        <v>101.449</v>
      </c>
      <c r="K11" s="64">
        <f>H11/F11*100</f>
        <v>101.44916805367237</v>
      </c>
    </row>
    <row r="12" spans="1:12" x14ac:dyDescent="0.2">
      <c r="A12" s="11" t="s">
        <v>17</v>
      </c>
      <c r="B12" s="105" t="s">
        <v>18</v>
      </c>
      <c r="C12" s="12"/>
      <c r="D12" s="12"/>
      <c r="E12" s="13">
        <v>366573.7</v>
      </c>
      <c r="F12" s="66">
        <v>377041.3</v>
      </c>
      <c r="G12" s="106">
        <v>50217.260999999999</v>
      </c>
      <c r="H12" s="107">
        <v>385707.73499999999</v>
      </c>
      <c r="I12" s="107">
        <v>105.22</v>
      </c>
      <c r="J12" s="44">
        <v>102.29900000000001</v>
      </c>
      <c r="K12" s="64"/>
    </row>
    <row r="13" spans="1:12" s="65" customFormat="1" ht="24" x14ac:dyDescent="0.2">
      <c r="A13" s="59" t="s">
        <v>19</v>
      </c>
      <c r="B13" s="60" t="s">
        <v>20</v>
      </c>
      <c r="C13" s="60"/>
      <c r="D13" s="60"/>
      <c r="E13" s="61">
        <v>366573.7</v>
      </c>
      <c r="F13" s="62">
        <v>377041.3</v>
      </c>
      <c r="G13" s="108">
        <v>50217.260999999999</v>
      </c>
      <c r="H13" s="104">
        <v>385707.73499999999</v>
      </c>
      <c r="I13" s="104">
        <v>105.22</v>
      </c>
      <c r="J13" s="63">
        <v>102.29900000000001</v>
      </c>
      <c r="K13" s="64">
        <f>H13-H44</f>
        <v>378741.74799999996</v>
      </c>
      <c r="L13" s="64">
        <f>H14+H26+H34+H44</f>
        <v>385707.73599999998</v>
      </c>
    </row>
    <row r="14" spans="1:12" s="195" customFormat="1" ht="67.5" x14ac:dyDescent="0.2">
      <c r="A14" s="196" t="s">
        <v>519</v>
      </c>
      <c r="B14" s="193" t="s">
        <v>21</v>
      </c>
      <c r="C14" s="193"/>
      <c r="D14" s="193"/>
      <c r="E14" s="194">
        <v>358627</v>
      </c>
      <c r="F14" s="194">
        <v>366631</v>
      </c>
      <c r="G14" s="194">
        <v>49424.345999999998</v>
      </c>
      <c r="H14" s="194">
        <v>375602.91499999998</v>
      </c>
      <c r="I14" s="194">
        <v>104.73399999999999</v>
      </c>
      <c r="J14" s="194">
        <v>102.447</v>
      </c>
    </row>
    <row r="15" spans="1:12" ht="67.5" x14ac:dyDescent="0.2">
      <c r="A15" s="15" t="s">
        <v>519</v>
      </c>
      <c r="B15" s="16" t="s">
        <v>22</v>
      </c>
      <c r="C15" s="16" t="s">
        <v>23</v>
      </c>
      <c r="D15" s="16" t="s">
        <v>24</v>
      </c>
      <c r="E15" s="17">
        <v>358627</v>
      </c>
      <c r="F15" s="17">
        <v>366631</v>
      </c>
      <c r="G15" s="17"/>
      <c r="H15" s="17"/>
      <c r="I15" s="17"/>
      <c r="J15" s="17"/>
    </row>
    <row r="16" spans="1:12" ht="101.25" x14ac:dyDescent="0.2">
      <c r="A16" s="14" t="s">
        <v>25</v>
      </c>
      <c r="B16" s="12" t="s">
        <v>26</v>
      </c>
      <c r="C16" s="12"/>
      <c r="D16" s="12"/>
      <c r="E16" s="13"/>
      <c r="F16" s="13"/>
      <c r="G16" s="13">
        <v>49249.233</v>
      </c>
      <c r="H16" s="13">
        <v>373138.54</v>
      </c>
      <c r="I16" s="13"/>
      <c r="J16" s="13"/>
    </row>
    <row r="17" spans="1:10" ht="90" x14ac:dyDescent="0.2">
      <c r="A17" s="18" t="s">
        <v>25</v>
      </c>
      <c r="B17" s="16" t="s">
        <v>27</v>
      </c>
      <c r="C17" s="16" t="s">
        <v>23</v>
      </c>
      <c r="D17" s="16" t="s">
        <v>24</v>
      </c>
      <c r="E17" s="17"/>
      <c r="F17" s="17"/>
      <c r="G17" s="17">
        <v>49249.233</v>
      </c>
      <c r="H17" s="17">
        <v>373138.54</v>
      </c>
      <c r="I17" s="17"/>
      <c r="J17" s="17"/>
    </row>
    <row r="18" spans="1:10" ht="78.75" x14ac:dyDescent="0.2">
      <c r="A18" s="14" t="s">
        <v>28</v>
      </c>
      <c r="B18" s="12" t="s">
        <v>29</v>
      </c>
      <c r="C18" s="12"/>
      <c r="D18" s="12"/>
      <c r="E18" s="13"/>
      <c r="F18" s="13"/>
      <c r="G18" s="13">
        <v>39.113</v>
      </c>
      <c r="H18" s="13">
        <v>621.49900000000002</v>
      </c>
      <c r="I18" s="13"/>
      <c r="J18" s="13"/>
    </row>
    <row r="19" spans="1:10" ht="67.5" x14ac:dyDescent="0.2">
      <c r="A19" s="18" t="s">
        <v>28</v>
      </c>
      <c r="B19" s="16" t="s">
        <v>30</v>
      </c>
      <c r="C19" s="16" t="s">
        <v>23</v>
      </c>
      <c r="D19" s="16" t="s">
        <v>24</v>
      </c>
      <c r="E19" s="17"/>
      <c r="F19" s="17"/>
      <c r="G19" s="17">
        <v>39.113</v>
      </c>
      <c r="H19" s="17">
        <v>621.49900000000002</v>
      </c>
      <c r="I19" s="17"/>
      <c r="J19" s="17"/>
    </row>
    <row r="20" spans="1:10" ht="90" x14ac:dyDescent="0.2">
      <c r="A20" s="14" t="s">
        <v>31</v>
      </c>
      <c r="B20" s="12" t="s">
        <v>32</v>
      </c>
      <c r="C20" s="12"/>
      <c r="D20" s="12"/>
      <c r="E20" s="13"/>
      <c r="F20" s="13"/>
      <c r="G20" s="13">
        <v>133.715</v>
      </c>
      <c r="H20" s="13">
        <v>1840.8019999999999</v>
      </c>
      <c r="I20" s="13"/>
      <c r="J20" s="13"/>
    </row>
    <row r="21" spans="1:10" ht="90" x14ac:dyDescent="0.2">
      <c r="A21" s="18" t="s">
        <v>31</v>
      </c>
      <c r="B21" s="16" t="s">
        <v>33</v>
      </c>
      <c r="C21" s="16" t="s">
        <v>23</v>
      </c>
      <c r="D21" s="16" t="s">
        <v>24</v>
      </c>
      <c r="E21" s="17"/>
      <c r="F21" s="17"/>
      <c r="G21" s="17">
        <v>133.715</v>
      </c>
      <c r="H21" s="17">
        <v>1840.8019999999999</v>
      </c>
      <c r="I21" s="17"/>
      <c r="J21" s="17"/>
    </row>
    <row r="22" spans="1:10" ht="78.75" x14ac:dyDescent="0.2">
      <c r="A22" s="14" t="s">
        <v>34</v>
      </c>
      <c r="B22" s="12" t="s">
        <v>35</v>
      </c>
      <c r="C22" s="12"/>
      <c r="D22" s="12"/>
      <c r="E22" s="13"/>
      <c r="F22" s="13"/>
      <c r="G22" s="13">
        <v>2.2850000000000001</v>
      </c>
      <c r="H22" s="13">
        <v>2.0739999999999998</v>
      </c>
      <c r="I22" s="13"/>
      <c r="J22" s="13"/>
    </row>
    <row r="23" spans="1:10" ht="67.5" x14ac:dyDescent="0.2">
      <c r="A23" s="18" t="s">
        <v>34</v>
      </c>
      <c r="B23" s="16" t="s">
        <v>36</v>
      </c>
      <c r="C23" s="16" t="s">
        <v>23</v>
      </c>
      <c r="D23" s="16" t="s">
        <v>24</v>
      </c>
      <c r="E23" s="17"/>
      <c r="F23" s="17"/>
      <c r="G23" s="17">
        <v>2.2850000000000001</v>
      </c>
      <c r="H23" s="17">
        <v>2.0739999999999998</v>
      </c>
      <c r="I23" s="17"/>
      <c r="J23" s="17"/>
    </row>
    <row r="24" spans="1:10" ht="101.25" x14ac:dyDescent="0.2">
      <c r="A24" s="14" t="s">
        <v>842</v>
      </c>
      <c r="B24" s="12" t="s">
        <v>843</v>
      </c>
      <c r="C24" s="12"/>
      <c r="D24" s="12"/>
      <c r="E24" s="13"/>
      <c r="F24" s="13"/>
      <c r="G24" s="13"/>
      <c r="H24" s="13"/>
      <c r="I24" s="13"/>
      <c r="J24" s="13"/>
    </row>
    <row r="25" spans="1:10" ht="90" x14ac:dyDescent="0.2">
      <c r="A25" s="18" t="s">
        <v>842</v>
      </c>
      <c r="B25" s="16" t="s">
        <v>844</v>
      </c>
      <c r="C25" s="16" t="s">
        <v>23</v>
      </c>
      <c r="D25" s="16" t="s">
        <v>24</v>
      </c>
      <c r="E25" s="17"/>
      <c r="F25" s="17"/>
      <c r="G25" s="17"/>
      <c r="H25" s="17"/>
      <c r="I25" s="17"/>
      <c r="J25" s="17"/>
    </row>
    <row r="26" spans="1:10" s="195" customFormat="1" ht="101.25" x14ac:dyDescent="0.2">
      <c r="A26" s="192" t="s">
        <v>37</v>
      </c>
      <c r="B26" s="193" t="s">
        <v>38</v>
      </c>
      <c r="C26" s="193"/>
      <c r="D26" s="193"/>
      <c r="E26" s="194">
        <v>854.9</v>
      </c>
      <c r="F26" s="194">
        <v>1455.2</v>
      </c>
      <c r="G26" s="194">
        <v>136.75399999999999</v>
      </c>
      <c r="H26" s="194">
        <v>1277.8209999999999</v>
      </c>
      <c r="I26" s="194">
        <v>149.47</v>
      </c>
      <c r="J26" s="194">
        <v>87.811000000000007</v>
      </c>
    </row>
    <row r="27" spans="1:10" ht="90" x14ac:dyDescent="0.2">
      <c r="A27" s="18" t="s">
        <v>37</v>
      </c>
      <c r="B27" s="16" t="s">
        <v>39</v>
      </c>
      <c r="C27" s="16" t="s">
        <v>23</v>
      </c>
      <c r="D27" s="16" t="s">
        <v>24</v>
      </c>
      <c r="E27" s="17">
        <v>854.9</v>
      </c>
      <c r="F27" s="17">
        <v>1455.2</v>
      </c>
      <c r="G27" s="17"/>
      <c r="H27" s="17"/>
      <c r="I27" s="17"/>
      <c r="J27" s="17"/>
    </row>
    <row r="28" spans="1:10" ht="135" x14ac:dyDescent="0.2">
      <c r="A28" s="14" t="s">
        <v>40</v>
      </c>
      <c r="B28" s="12" t="s">
        <v>41</v>
      </c>
      <c r="C28" s="12"/>
      <c r="D28" s="12"/>
      <c r="E28" s="13"/>
      <c r="F28" s="13"/>
      <c r="G28" s="13">
        <v>136.46100000000001</v>
      </c>
      <c r="H28" s="13">
        <v>1237.0730000000001</v>
      </c>
      <c r="I28" s="13"/>
      <c r="J28" s="13"/>
    </row>
    <row r="29" spans="1:10" ht="123.75" x14ac:dyDescent="0.2">
      <c r="A29" s="18" t="s">
        <v>40</v>
      </c>
      <c r="B29" s="16" t="s">
        <v>42</v>
      </c>
      <c r="C29" s="16" t="s">
        <v>23</v>
      </c>
      <c r="D29" s="16" t="s">
        <v>24</v>
      </c>
      <c r="E29" s="17"/>
      <c r="F29" s="17"/>
      <c r="G29" s="17">
        <v>136.46100000000001</v>
      </c>
      <c r="H29" s="17">
        <v>1237.0730000000001</v>
      </c>
      <c r="I29" s="17"/>
      <c r="J29" s="17"/>
    </row>
    <row r="30" spans="1:10" ht="112.5" x14ac:dyDescent="0.2">
      <c r="A30" s="14" t="s">
        <v>43</v>
      </c>
      <c r="B30" s="12" t="s">
        <v>44</v>
      </c>
      <c r="C30" s="12"/>
      <c r="D30" s="12"/>
      <c r="E30" s="13"/>
      <c r="F30" s="13"/>
      <c r="G30" s="13">
        <v>0.25</v>
      </c>
      <c r="H30" s="13">
        <v>38.284999999999997</v>
      </c>
      <c r="I30" s="13"/>
      <c r="J30" s="13"/>
    </row>
    <row r="31" spans="1:10" ht="101.25" x14ac:dyDescent="0.2">
      <c r="A31" s="18" t="s">
        <v>43</v>
      </c>
      <c r="B31" s="16" t="s">
        <v>45</v>
      </c>
      <c r="C31" s="16" t="s">
        <v>23</v>
      </c>
      <c r="D31" s="16" t="s">
        <v>24</v>
      </c>
      <c r="E31" s="17"/>
      <c r="F31" s="17"/>
      <c r="G31" s="17">
        <v>0.25</v>
      </c>
      <c r="H31" s="17">
        <v>38.284999999999997</v>
      </c>
      <c r="I31" s="17"/>
      <c r="J31" s="17"/>
    </row>
    <row r="32" spans="1:10" ht="123.75" x14ac:dyDescent="0.2">
      <c r="A32" s="14" t="s">
        <v>46</v>
      </c>
      <c r="B32" s="12" t="s">
        <v>47</v>
      </c>
      <c r="C32" s="12"/>
      <c r="D32" s="12"/>
      <c r="E32" s="13"/>
      <c r="F32" s="13"/>
      <c r="G32" s="13">
        <v>4.2999999999999997E-2</v>
      </c>
      <c r="H32" s="13">
        <v>2.4630000000000001</v>
      </c>
      <c r="I32" s="13"/>
      <c r="J32" s="13"/>
    </row>
    <row r="33" spans="1:11" ht="112.5" x14ac:dyDescent="0.2">
      <c r="A33" s="18" t="s">
        <v>46</v>
      </c>
      <c r="B33" s="16" t="s">
        <v>48</v>
      </c>
      <c r="C33" s="16" t="s">
        <v>23</v>
      </c>
      <c r="D33" s="16" t="s">
        <v>24</v>
      </c>
      <c r="E33" s="17"/>
      <c r="F33" s="17"/>
      <c r="G33" s="17">
        <v>4.2999999999999997E-2</v>
      </c>
      <c r="H33" s="17">
        <v>2.4630000000000001</v>
      </c>
      <c r="I33" s="17"/>
      <c r="J33" s="17"/>
    </row>
    <row r="34" spans="1:11" s="195" customFormat="1" ht="45" x14ac:dyDescent="0.2">
      <c r="A34" s="196" t="s">
        <v>50</v>
      </c>
      <c r="B34" s="193" t="s">
        <v>51</v>
      </c>
      <c r="C34" s="193"/>
      <c r="D34" s="193"/>
      <c r="E34" s="194">
        <v>754.9</v>
      </c>
      <c r="F34" s="194">
        <v>1986.3</v>
      </c>
      <c r="G34" s="194">
        <v>55.203000000000003</v>
      </c>
      <c r="H34" s="194">
        <v>1861.0129999999999</v>
      </c>
      <c r="I34" s="194">
        <v>246.524</v>
      </c>
      <c r="J34" s="194">
        <v>93.691999999999993</v>
      </c>
    </row>
    <row r="35" spans="1:11" ht="33.75" x14ac:dyDescent="0.2">
      <c r="A35" s="15" t="s">
        <v>50</v>
      </c>
      <c r="B35" s="16" t="s">
        <v>52</v>
      </c>
      <c r="C35" s="16" t="s">
        <v>23</v>
      </c>
      <c r="D35" s="16" t="s">
        <v>24</v>
      </c>
      <c r="E35" s="17">
        <v>754.9</v>
      </c>
      <c r="F35" s="17">
        <v>1986.3</v>
      </c>
      <c r="G35" s="17"/>
      <c r="H35" s="17"/>
      <c r="I35" s="17"/>
      <c r="J35" s="17"/>
    </row>
    <row r="36" spans="1:11" ht="67.5" x14ac:dyDescent="0.2">
      <c r="A36" s="11" t="s">
        <v>53</v>
      </c>
      <c r="B36" s="12" t="s">
        <v>54</v>
      </c>
      <c r="C36" s="12"/>
      <c r="D36" s="12"/>
      <c r="E36" s="13"/>
      <c r="F36" s="13"/>
      <c r="G36" s="13">
        <v>48.05</v>
      </c>
      <c r="H36" s="13">
        <v>1802.625</v>
      </c>
      <c r="I36" s="13"/>
      <c r="J36" s="13"/>
    </row>
    <row r="37" spans="1:11" ht="67.5" x14ac:dyDescent="0.2">
      <c r="A37" s="15" t="s">
        <v>53</v>
      </c>
      <c r="B37" s="16" t="s">
        <v>55</v>
      </c>
      <c r="C37" s="16" t="s">
        <v>23</v>
      </c>
      <c r="D37" s="16" t="s">
        <v>24</v>
      </c>
      <c r="E37" s="17"/>
      <c r="F37" s="17"/>
      <c r="G37" s="17">
        <v>48.05</v>
      </c>
      <c r="H37" s="17">
        <v>1802.625</v>
      </c>
      <c r="I37" s="17"/>
      <c r="J37" s="17"/>
    </row>
    <row r="38" spans="1:11" ht="45" x14ac:dyDescent="0.2">
      <c r="A38" s="11" t="s">
        <v>56</v>
      </c>
      <c r="B38" s="12" t="s">
        <v>57</v>
      </c>
      <c r="C38" s="12"/>
      <c r="D38" s="12"/>
      <c r="E38" s="13"/>
      <c r="F38" s="13"/>
      <c r="G38" s="13">
        <v>2.4089999999999998</v>
      </c>
      <c r="H38" s="13">
        <v>28.748999999999999</v>
      </c>
      <c r="I38" s="13"/>
      <c r="J38" s="13"/>
    </row>
    <row r="39" spans="1:11" ht="45" x14ac:dyDescent="0.2">
      <c r="A39" s="15" t="s">
        <v>56</v>
      </c>
      <c r="B39" s="16" t="s">
        <v>58</v>
      </c>
      <c r="C39" s="16" t="s">
        <v>23</v>
      </c>
      <c r="D39" s="16" t="s">
        <v>24</v>
      </c>
      <c r="E39" s="17"/>
      <c r="F39" s="17"/>
      <c r="G39" s="17">
        <v>2.4089999999999998</v>
      </c>
      <c r="H39" s="17">
        <v>28.748999999999999</v>
      </c>
      <c r="I39" s="17"/>
      <c r="J39" s="17"/>
    </row>
    <row r="40" spans="1:11" ht="67.5" x14ac:dyDescent="0.2">
      <c r="A40" s="11" t="s">
        <v>59</v>
      </c>
      <c r="B40" s="12" t="s">
        <v>60</v>
      </c>
      <c r="C40" s="12"/>
      <c r="D40" s="12"/>
      <c r="E40" s="13"/>
      <c r="F40" s="13"/>
      <c r="G40" s="13">
        <v>5.375</v>
      </c>
      <c r="H40" s="13">
        <v>29.44</v>
      </c>
      <c r="I40" s="13"/>
      <c r="J40" s="13"/>
    </row>
    <row r="41" spans="1:11" ht="67.5" x14ac:dyDescent="0.2">
      <c r="A41" s="15" t="s">
        <v>59</v>
      </c>
      <c r="B41" s="16" t="s">
        <v>61</v>
      </c>
      <c r="C41" s="16" t="s">
        <v>23</v>
      </c>
      <c r="D41" s="16" t="s">
        <v>24</v>
      </c>
      <c r="E41" s="17"/>
      <c r="F41" s="17"/>
      <c r="G41" s="17">
        <v>5.375</v>
      </c>
      <c r="H41" s="17">
        <v>29.44</v>
      </c>
      <c r="I41" s="17"/>
      <c r="J41" s="17"/>
    </row>
    <row r="42" spans="1:11" ht="45" x14ac:dyDescent="0.2">
      <c r="A42" s="11" t="s">
        <v>62</v>
      </c>
      <c r="B42" s="12" t="s">
        <v>63</v>
      </c>
      <c r="C42" s="12"/>
      <c r="D42" s="12"/>
      <c r="E42" s="13"/>
      <c r="F42" s="13"/>
      <c r="G42" s="13">
        <v>-0.63</v>
      </c>
      <c r="H42" s="13">
        <v>0.19800000000000001</v>
      </c>
      <c r="I42" s="13"/>
      <c r="J42" s="13"/>
    </row>
    <row r="43" spans="1:11" ht="45" x14ac:dyDescent="0.2">
      <c r="A43" s="15" t="s">
        <v>62</v>
      </c>
      <c r="B43" s="16" t="s">
        <v>64</v>
      </c>
      <c r="C43" s="16" t="s">
        <v>23</v>
      </c>
      <c r="D43" s="16" t="s">
        <v>24</v>
      </c>
      <c r="E43" s="17"/>
      <c r="F43" s="17"/>
      <c r="G43" s="17">
        <v>-0.63</v>
      </c>
      <c r="H43" s="17">
        <v>0.19800000000000001</v>
      </c>
      <c r="I43" s="17"/>
      <c r="J43" s="17"/>
    </row>
    <row r="44" spans="1:11" s="195" customFormat="1" ht="78.75" x14ac:dyDescent="0.2">
      <c r="A44" s="192" t="s">
        <v>520</v>
      </c>
      <c r="B44" s="193" t="s">
        <v>66</v>
      </c>
      <c r="C44" s="193"/>
      <c r="D44" s="193"/>
      <c r="E44" s="194">
        <v>6336.9</v>
      </c>
      <c r="F44" s="194">
        <v>6968.8</v>
      </c>
      <c r="G44" s="194">
        <v>600.95799999999997</v>
      </c>
      <c r="H44" s="194">
        <v>6965.9870000000001</v>
      </c>
      <c r="I44" s="194">
        <v>109.92700000000001</v>
      </c>
      <c r="J44" s="194">
        <v>99.96</v>
      </c>
    </row>
    <row r="45" spans="1:11" ht="67.5" x14ac:dyDescent="0.2">
      <c r="A45" s="18" t="s">
        <v>520</v>
      </c>
      <c r="B45" s="16" t="s">
        <v>67</v>
      </c>
      <c r="C45" s="16" t="s">
        <v>23</v>
      </c>
      <c r="D45" s="16" t="s">
        <v>24</v>
      </c>
      <c r="E45" s="17">
        <v>6336.9</v>
      </c>
      <c r="F45" s="17">
        <v>6968.8</v>
      </c>
      <c r="G45" s="17"/>
      <c r="H45" s="17"/>
      <c r="I45" s="17"/>
      <c r="J45" s="17"/>
    </row>
    <row r="46" spans="1:11" ht="112.5" x14ac:dyDescent="0.2">
      <c r="A46" s="14" t="s">
        <v>68</v>
      </c>
      <c r="B46" s="12" t="s">
        <v>69</v>
      </c>
      <c r="C46" s="12"/>
      <c r="D46" s="12"/>
      <c r="E46" s="13"/>
      <c r="F46" s="13"/>
      <c r="G46" s="13">
        <v>600.95799999999997</v>
      </c>
      <c r="H46" s="13">
        <v>6965.9870000000001</v>
      </c>
      <c r="I46" s="13"/>
      <c r="J46" s="13"/>
    </row>
    <row r="47" spans="1:11" ht="101.25" x14ac:dyDescent="0.2">
      <c r="A47" s="18" t="s">
        <v>68</v>
      </c>
      <c r="B47" s="16" t="s">
        <v>70</v>
      </c>
      <c r="C47" s="16" t="s">
        <v>23</v>
      </c>
      <c r="D47" s="16" t="s">
        <v>24</v>
      </c>
      <c r="E47" s="17"/>
      <c r="F47" s="17"/>
      <c r="G47" s="17">
        <v>600.95799999999997</v>
      </c>
      <c r="H47" s="17">
        <v>6965.9870000000001</v>
      </c>
      <c r="I47" s="17"/>
      <c r="J47" s="17"/>
    </row>
    <row r="48" spans="1:11" s="65" customFormat="1" ht="36" x14ac:dyDescent="0.2">
      <c r="A48" s="59" t="s">
        <v>694</v>
      </c>
      <c r="B48" s="60" t="s">
        <v>695</v>
      </c>
      <c r="C48" s="60"/>
      <c r="D48" s="60"/>
      <c r="E48" s="61">
        <v>1998.9</v>
      </c>
      <c r="F48" s="62">
        <v>1998.9</v>
      </c>
      <c r="G48" s="108">
        <v>194.768</v>
      </c>
      <c r="H48" s="104">
        <v>2159.462</v>
      </c>
      <c r="I48" s="104">
        <v>108.033</v>
      </c>
      <c r="J48" s="63">
        <v>108.033</v>
      </c>
      <c r="K48" s="64"/>
    </row>
    <row r="49" spans="1:11" s="65" customFormat="1" ht="36" x14ac:dyDescent="0.2">
      <c r="A49" s="59" t="s">
        <v>405</v>
      </c>
      <c r="B49" s="60" t="s">
        <v>696</v>
      </c>
      <c r="C49" s="60"/>
      <c r="D49" s="60"/>
      <c r="E49" s="61">
        <v>1998.9</v>
      </c>
      <c r="F49" s="62">
        <v>1998.9</v>
      </c>
      <c r="G49" s="108">
        <v>194.768</v>
      </c>
      <c r="H49" s="104">
        <v>2159.462</v>
      </c>
      <c r="I49" s="104">
        <v>108.033</v>
      </c>
      <c r="J49" s="63">
        <v>108.033</v>
      </c>
      <c r="K49" s="64"/>
    </row>
    <row r="50" spans="1:11" s="195" customFormat="1" ht="67.5" x14ac:dyDescent="0.2">
      <c r="A50" s="196" t="s">
        <v>418</v>
      </c>
      <c r="B50" s="193" t="s">
        <v>697</v>
      </c>
      <c r="C50" s="193"/>
      <c r="D50" s="193"/>
      <c r="E50" s="194">
        <v>745.9</v>
      </c>
      <c r="F50" s="194">
        <v>745.9</v>
      </c>
      <c r="G50" s="194">
        <v>88.783000000000001</v>
      </c>
      <c r="H50" s="194">
        <v>962.18200000000002</v>
      </c>
      <c r="I50" s="194">
        <v>128.99600000000001</v>
      </c>
      <c r="J50" s="194">
        <v>128.99600000000001</v>
      </c>
    </row>
    <row r="51" spans="1:11" ht="67.5" x14ac:dyDescent="0.2">
      <c r="A51" s="15" t="s">
        <v>418</v>
      </c>
      <c r="B51" s="16" t="s">
        <v>410</v>
      </c>
      <c r="C51" s="16" t="s">
        <v>23</v>
      </c>
      <c r="D51" s="16" t="s">
        <v>24</v>
      </c>
      <c r="E51" s="17">
        <v>745.9</v>
      </c>
      <c r="F51" s="17">
        <v>745.9</v>
      </c>
      <c r="G51" s="17">
        <v>88.783000000000001</v>
      </c>
      <c r="H51" s="17">
        <v>962.18200000000002</v>
      </c>
      <c r="I51" s="17">
        <v>128.99600000000001</v>
      </c>
      <c r="J51" s="17">
        <v>128.99600000000001</v>
      </c>
    </row>
    <row r="52" spans="1:11" s="195" customFormat="1" ht="78.75" x14ac:dyDescent="0.2">
      <c r="A52" s="192" t="s">
        <v>417</v>
      </c>
      <c r="B52" s="193" t="s">
        <v>698</v>
      </c>
      <c r="C52" s="193"/>
      <c r="D52" s="193"/>
      <c r="E52" s="194">
        <v>7.9</v>
      </c>
      <c r="F52" s="194">
        <v>7.9</v>
      </c>
      <c r="G52" s="194">
        <v>0.97599999999999998</v>
      </c>
      <c r="H52" s="194">
        <v>9.2669999999999995</v>
      </c>
      <c r="I52" s="194">
        <v>117.298</v>
      </c>
      <c r="J52" s="194">
        <v>117.298</v>
      </c>
    </row>
    <row r="53" spans="1:11" ht="78.75" x14ac:dyDescent="0.2">
      <c r="A53" s="18" t="s">
        <v>417</v>
      </c>
      <c r="B53" s="16" t="s">
        <v>411</v>
      </c>
      <c r="C53" s="16" t="s">
        <v>23</v>
      </c>
      <c r="D53" s="16" t="s">
        <v>24</v>
      </c>
      <c r="E53" s="17">
        <v>7.9</v>
      </c>
      <c r="F53" s="17">
        <v>7.9</v>
      </c>
      <c r="G53" s="17">
        <v>0.97599999999999998</v>
      </c>
      <c r="H53" s="17">
        <v>9.2669999999999995</v>
      </c>
      <c r="I53" s="17">
        <v>117.298</v>
      </c>
      <c r="J53" s="17">
        <v>117.298</v>
      </c>
    </row>
    <row r="54" spans="1:11" s="195" customFormat="1" ht="67.5" x14ac:dyDescent="0.2">
      <c r="A54" s="196" t="s">
        <v>416</v>
      </c>
      <c r="B54" s="193" t="s">
        <v>699</v>
      </c>
      <c r="C54" s="193"/>
      <c r="D54" s="193"/>
      <c r="E54" s="194">
        <v>1245.0999999999999</v>
      </c>
      <c r="F54" s="194">
        <v>1245.0999999999999</v>
      </c>
      <c r="G54" s="194">
        <v>125.736</v>
      </c>
      <c r="H54" s="194">
        <v>1403.598</v>
      </c>
      <c r="I54" s="194">
        <v>112.73</v>
      </c>
      <c r="J54" s="194">
        <v>112.73</v>
      </c>
    </row>
    <row r="55" spans="1:11" ht="67.5" x14ac:dyDescent="0.2">
      <c r="A55" s="15" t="s">
        <v>416</v>
      </c>
      <c r="B55" s="16" t="s">
        <v>412</v>
      </c>
      <c r="C55" s="16" t="s">
        <v>23</v>
      </c>
      <c r="D55" s="16" t="s">
        <v>24</v>
      </c>
      <c r="E55" s="17">
        <v>1245.0999999999999</v>
      </c>
      <c r="F55" s="17">
        <v>1245.0999999999999</v>
      </c>
      <c r="G55" s="17">
        <v>125.736</v>
      </c>
      <c r="H55" s="17">
        <v>1403.598</v>
      </c>
      <c r="I55" s="17">
        <v>112.73</v>
      </c>
      <c r="J55" s="17">
        <v>112.73</v>
      </c>
    </row>
    <row r="56" spans="1:11" s="195" customFormat="1" ht="67.5" x14ac:dyDescent="0.2">
      <c r="A56" s="196" t="s">
        <v>415</v>
      </c>
      <c r="B56" s="193" t="s">
        <v>700</v>
      </c>
      <c r="C56" s="193"/>
      <c r="D56" s="193"/>
      <c r="E56" s="194"/>
      <c r="F56" s="194"/>
      <c r="G56" s="194">
        <v>-20.728000000000002</v>
      </c>
      <c r="H56" s="194">
        <v>-215.583</v>
      </c>
      <c r="I56" s="194"/>
      <c r="J56" s="194"/>
    </row>
    <row r="57" spans="1:11" ht="67.5" x14ac:dyDescent="0.2">
      <c r="A57" s="15" t="s">
        <v>415</v>
      </c>
      <c r="B57" s="16" t="s">
        <v>413</v>
      </c>
      <c r="C57" s="16" t="s">
        <v>23</v>
      </c>
      <c r="D57" s="16" t="s">
        <v>24</v>
      </c>
      <c r="E57" s="17"/>
      <c r="F57" s="17"/>
      <c r="G57" s="17">
        <v>-20.728000000000002</v>
      </c>
      <c r="H57" s="17">
        <v>-215.583</v>
      </c>
      <c r="I57" s="17"/>
      <c r="J57" s="17"/>
    </row>
    <row r="58" spans="1:11" s="73" customFormat="1" ht="20.25" customHeight="1" x14ac:dyDescent="0.2">
      <c r="A58" s="109" t="s">
        <v>71</v>
      </c>
      <c r="B58" s="110" t="s">
        <v>72</v>
      </c>
      <c r="C58" s="69"/>
      <c r="D58" s="69"/>
      <c r="E58" s="70">
        <v>63838.5</v>
      </c>
      <c r="F58" s="70">
        <v>57143.6</v>
      </c>
      <c r="G58" s="111">
        <v>2093.578</v>
      </c>
      <c r="H58" s="107">
        <v>56165.707000000002</v>
      </c>
      <c r="I58" s="107">
        <v>87.980999999999995</v>
      </c>
      <c r="J58" s="70">
        <v>98.289000000000001</v>
      </c>
      <c r="K58" s="64">
        <f>G58-G59</f>
        <v>721.56799999999998</v>
      </c>
    </row>
    <row r="59" spans="1:11" s="73" customFormat="1" ht="28.5" customHeight="1" x14ac:dyDescent="0.2">
      <c r="A59" s="68" t="s">
        <v>521</v>
      </c>
      <c r="B59" s="69" t="s">
        <v>522</v>
      </c>
      <c r="C59" s="69"/>
      <c r="D59" s="69"/>
      <c r="E59" s="70">
        <v>22900</v>
      </c>
      <c r="F59" s="71">
        <v>25177.3</v>
      </c>
      <c r="G59" s="111">
        <v>1372.01</v>
      </c>
      <c r="H59" s="107">
        <v>24871.873</v>
      </c>
      <c r="I59" s="107">
        <v>108.611</v>
      </c>
      <c r="J59" s="72">
        <v>98.787000000000006</v>
      </c>
      <c r="K59" s="64"/>
    </row>
    <row r="60" spans="1:11" ht="33.75" x14ac:dyDescent="0.2">
      <c r="A60" s="11" t="s">
        <v>419</v>
      </c>
      <c r="B60" s="12" t="s">
        <v>523</v>
      </c>
      <c r="C60" s="12"/>
      <c r="D60" s="12"/>
      <c r="E60" s="13">
        <v>12549.2</v>
      </c>
      <c r="F60" s="13">
        <v>14854.6</v>
      </c>
      <c r="G60" s="13">
        <v>946.48800000000006</v>
      </c>
      <c r="H60" s="13">
        <v>13930.806</v>
      </c>
      <c r="I60" s="13">
        <v>111.01</v>
      </c>
      <c r="J60" s="13">
        <v>93.781000000000006</v>
      </c>
    </row>
    <row r="61" spans="1:11" s="195" customFormat="1" ht="33.75" x14ac:dyDescent="0.2">
      <c r="A61" s="196" t="s">
        <v>419</v>
      </c>
      <c r="B61" s="193" t="s">
        <v>524</v>
      </c>
      <c r="C61" s="193"/>
      <c r="D61" s="193"/>
      <c r="E61" s="194">
        <v>12549.2</v>
      </c>
      <c r="F61" s="194">
        <v>14854.6</v>
      </c>
      <c r="G61" s="194">
        <v>946.48800000000006</v>
      </c>
      <c r="H61" s="194">
        <v>13930.806</v>
      </c>
      <c r="I61" s="194">
        <v>111.01</v>
      </c>
      <c r="J61" s="194">
        <v>93.781000000000006</v>
      </c>
    </row>
    <row r="62" spans="1:11" ht="22.5" x14ac:dyDescent="0.2">
      <c r="A62" s="15" t="s">
        <v>419</v>
      </c>
      <c r="B62" s="19" t="s">
        <v>701</v>
      </c>
      <c r="C62" s="16" t="s">
        <v>23</v>
      </c>
      <c r="D62" s="16" t="s">
        <v>24</v>
      </c>
      <c r="E62" s="17">
        <v>12549.2</v>
      </c>
      <c r="F62" s="17">
        <v>14854.6</v>
      </c>
      <c r="G62" s="17"/>
      <c r="H62" s="17"/>
      <c r="I62" s="17"/>
      <c r="J62" s="17"/>
    </row>
    <row r="63" spans="1:11" s="205" customFormat="1" ht="56.25" x14ac:dyDescent="0.2">
      <c r="A63" s="203" t="s">
        <v>702</v>
      </c>
      <c r="B63" s="105" t="s">
        <v>525</v>
      </c>
      <c r="C63" s="105"/>
      <c r="D63" s="105"/>
      <c r="E63" s="204"/>
      <c r="F63" s="204"/>
      <c r="G63" s="204">
        <v>914.95799999999997</v>
      </c>
      <c r="H63" s="204">
        <v>13616.806</v>
      </c>
      <c r="I63" s="204"/>
      <c r="J63" s="204"/>
    </row>
    <row r="64" spans="1:11" ht="56.25" x14ac:dyDescent="0.2">
      <c r="A64" s="15" t="s">
        <v>702</v>
      </c>
      <c r="B64" s="16" t="s">
        <v>526</v>
      </c>
      <c r="C64" s="16" t="s">
        <v>23</v>
      </c>
      <c r="D64" s="16" t="s">
        <v>24</v>
      </c>
      <c r="E64" s="17"/>
      <c r="F64" s="17"/>
      <c r="G64" s="17">
        <v>914.95799999999997</v>
      </c>
      <c r="H64" s="17">
        <v>13616.806</v>
      </c>
      <c r="I64" s="17"/>
      <c r="J64" s="17"/>
    </row>
    <row r="65" spans="1:10" ht="33.75" x14ac:dyDescent="0.2">
      <c r="A65" s="11" t="s">
        <v>421</v>
      </c>
      <c r="B65" s="12" t="s">
        <v>527</v>
      </c>
      <c r="C65" s="12"/>
      <c r="D65" s="12"/>
      <c r="E65" s="13"/>
      <c r="F65" s="13"/>
      <c r="G65" s="13">
        <v>18.364999999999998</v>
      </c>
      <c r="H65" s="13">
        <v>291.10300000000001</v>
      </c>
      <c r="I65" s="13"/>
      <c r="J65" s="13"/>
    </row>
    <row r="66" spans="1:10" ht="33.75" x14ac:dyDescent="0.2">
      <c r="A66" s="15" t="s">
        <v>421</v>
      </c>
      <c r="B66" s="16" t="s">
        <v>528</v>
      </c>
      <c r="C66" s="16" t="s">
        <v>23</v>
      </c>
      <c r="D66" s="16" t="s">
        <v>24</v>
      </c>
      <c r="E66" s="17"/>
      <c r="F66" s="17"/>
      <c r="G66" s="17">
        <v>18.364999999999998</v>
      </c>
      <c r="H66" s="17">
        <v>291.10300000000001</v>
      </c>
      <c r="I66" s="17"/>
      <c r="J66" s="17"/>
    </row>
    <row r="67" spans="1:10" ht="56.25" x14ac:dyDescent="0.2">
      <c r="A67" s="11" t="s">
        <v>422</v>
      </c>
      <c r="B67" s="12" t="s">
        <v>529</v>
      </c>
      <c r="C67" s="12"/>
      <c r="D67" s="12"/>
      <c r="E67" s="13"/>
      <c r="F67" s="13"/>
      <c r="G67" s="13">
        <v>1.615</v>
      </c>
      <c r="H67" s="13">
        <v>11.708</v>
      </c>
      <c r="I67" s="13"/>
      <c r="J67" s="13"/>
    </row>
    <row r="68" spans="1:10" ht="56.25" x14ac:dyDescent="0.2">
      <c r="A68" s="15" t="s">
        <v>422</v>
      </c>
      <c r="B68" s="16" t="s">
        <v>530</v>
      </c>
      <c r="C68" s="16" t="s">
        <v>23</v>
      </c>
      <c r="D68" s="16" t="s">
        <v>24</v>
      </c>
      <c r="E68" s="17"/>
      <c r="F68" s="17"/>
      <c r="G68" s="17">
        <v>1.615</v>
      </c>
      <c r="H68" s="17">
        <v>11.708</v>
      </c>
      <c r="I68" s="17"/>
      <c r="J68" s="17"/>
    </row>
    <row r="69" spans="1:10" ht="33.75" x14ac:dyDescent="0.2">
      <c r="A69" s="11" t="s">
        <v>423</v>
      </c>
      <c r="B69" s="12" t="s">
        <v>531</v>
      </c>
      <c r="C69" s="12"/>
      <c r="D69" s="12"/>
      <c r="E69" s="13"/>
      <c r="F69" s="13"/>
      <c r="G69" s="13">
        <v>11.55</v>
      </c>
      <c r="H69" s="13">
        <v>11.19</v>
      </c>
      <c r="I69" s="13"/>
      <c r="J69" s="13"/>
    </row>
    <row r="70" spans="1:10" ht="33.75" x14ac:dyDescent="0.2">
      <c r="A70" s="15" t="s">
        <v>423</v>
      </c>
      <c r="B70" s="16" t="s">
        <v>845</v>
      </c>
      <c r="C70" s="16" t="s">
        <v>23</v>
      </c>
      <c r="D70" s="16" t="s">
        <v>24</v>
      </c>
      <c r="E70" s="17"/>
      <c r="F70" s="17"/>
      <c r="G70" s="17">
        <v>11.55</v>
      </c>
      <c r="H70" s="17">
        <v>11.19</v>
      </c>
      <c r="I70" s="17"/>
      <c r="J70" s="17"/>
    </row>
    <row r="71" spans="1:10" ht="33.75" x14ac:dyDescent="0.2">
      <c r="A71" s="11" t="s">
        <v>428</v>
      </c>
      <c r="B71" s="12" t="s">
        <v>532</v>
      </c>
      <c r="C71" s="12"/>
      <c r="D71" s="12"/>
      <c r="E71" s="13">
        <v>10350.799999999999</v>
      </c>
      <c r="F71" s="13">
        <v>10350.799999999999</v>
      </c>
      <c r="G71" s="13">
        <v>425.52199999999999</v>
      </c>
      <c r="H71" s="13">
        <v>10982.521000000001</v>
      </c>
      <c r="I71" s="13">
        <v>106.10299999999999</v>
      </c>
      <c r="J71" s="13">
        <v>106.10299999999999</v>
      </c>
    </row>
    <row r="72" spans="1:10" s="195" customFormat="1" ht="56.25" x14ac:dyDescent="0.2">
      <c r="A72" s="196" t="s">
        <v>429</v>
      </c>
      <c r="B72" s="193" t="s">
        <v>533</v>
      </c>
      <c r="C72" s="193"/>
      <c r="D72" s="193"/>
      <c r="E72" s="194">
        <v>10350.799999999999</v>
      </c>
      <c r="F72" s="194">
        <v>10350.799999999999</v>
      </c>
      <c r="G72" s="194">
        <v>425.52199999999999</v>
      </c>
      <c r="H72" s="194">
        <v>10982.521000000001</v>
      </c>
      <c r="I72" s="194">
        <v>106.10299999999999</v>
      </c>
      <c r="J72" s="194">
        <v>106.10299999999999</v>
      </c>
    </row>
    <row r="73" spans="1:10" ht="56.25" x14ac:dyDescent="0.2">
      <c r="A73" s="15" t="s">
        <v>429</v>
      </c>
      <c r="B73" s="16" t="s">
        <v>703</v>
      </c>
      <c r="C73" s="16" t="s">
        <v>23</v>
      </c>
      <c r="D73" s="16" t="s">
        <v>24</v>
      </c>
      <c r="E73" s="17">
        <v>10350.799999999999</v>
      </c>
      <c r="F73" s="17">
        <v>10350.799999999999</v>
      </c>
      <c r="G73" s="17"/>
      <c r="H73" s="17"/>
      <c r="I73" s="17"/>
      <c r="J73" s="17"/>
    </row>
    <row r="74" spans="1:10" ht="67.5" x14ac:dyDescent="0.2">
      <c r="A74" s="11" t="s">
        <v>704</v>
      </c>
      <c r="B74" s="12" t="s">
        <v>534</v>
      </c>
      <c r="C74" s="12"/>
      <c r="D74" s="12"/>
      <c r="E74" s="13"/>
      <c r="F74" s="13"/>
      <c r="G74" s="13">
        <v>403.072</v>
      </c>
      <c r="H74" s="13">
        <v>10475.173000000001</v>
      </c>
      <c r="I74" s="13"/>
      <c r="J74" s="13"/>
    </row>
    <row r="75" spans="1:10" ht="67.5" x14ac:dyDescent="0.2">
      <c r="A75" s="15" t="s">
        <v>704</v>
      </c>
      <c r="B75" s="16" t="s">
        <v>535</v>
      </c>
      <c r="C75" s="16" t="s">
        <v>23</v>
      </c>
      <c r="D75" s="16" t="s">
        <v>24</v>
      </c>
      <c r="E75" s="17"/>
      <c r="F75" s="17"/>
      <c r="G75" s="17">
        <v>403.072</v>
      </c>
      <c r="H75" s="17">
        <v>10475.173000000001</v>
      </c>
      <c r="I75" s="17"/>
      <c r="J75" s="17"/>
    </row>
    <row r="76" spans="1:10" ht="45" x14ac:dyDescent="0.2">
      <c r="A76" s="11" t="s">
        <v>431</v>
      </c>
      <c r="B76" s="12" t="s">
        <v>536</v>
      </c>
      <c r="C76" s="12"/>
      <c r="D76" s="12"/>
      <c r="E76" s="13"/>
      <c r="F76" s="13"/>
      <c r="G76" s="13">
        <v>1.0429999999999999</v>
      </c>
      <c r="H76" s="13">
        <v>360.791</v>
      </c>
      <c r="I76" s="13"/>
      <c r="J76" s="13"/>
    </row>
    <row r="77" spans="1:10" ht="45" x14ac:dyDescent="0.2">
      <c r="A77" s="15" t="s">
        <v>431</v>
      </c>
      <c r="B77" s="16" t="s">
        <v>537</v>
      </c>
      <c r="C77" s="16" t="s">
        <v>23</v>
      </c>
      <c r="D77" s="16" t="s">
        <v>24</v>
      </c>
      <c r="E77" s="17"/>
      <c r="F77" s="17"/>
      <c r="G77" s="17">
        <v>1.0429999999999999</v>
      </c>
      <c r="H77" s="17">
        <v>360.791</v>
      </c>
      <c r="I77" s="17"/>
      <c r="J77" s="17"/>
    </row>
    <row r="78" spans="1:10" ht="67.5" x14ac:dyDescent="0.2">
      <c r="A78" s="11" t="s">
        <v>432</v>
      </c>
      <c r="B78" s="12" t="s">
        <v>538</v>
      </c>
      <c r="C78" s="12"/>
      <c r="D78" s="12"/>
      <c r="E78" s="13"/>
      <c r="F78" s="13"/>
      <c r="G78" s="13">
        <v>9.0719999999999992</v>
      </c>
      <c r="H78" s="13">
        <v>142.322</v>
      </c>
      <c r="I78" s="13"/>
      <c r="J78" s="13"/>
    </row>
    <row r="79" spans="1:10" ht="56.25" x14ac:dyDescent="0.2">
      <c r="A79" s="15" t="s">
        <v>432</v>
      </c>
      <c r="B79" s="16" t="s">
        <v>539</v>
      </c>
      <c r="C79" s="16" t="s">
        <v>23</v>
      </c>
      <c r="D79" s="16" t="s">
        <v>24</v>
      </c>
      <c r="E79" s="17"/>
      <c r="F79" s="17"/>
      <c r="G79" s="17">
        <v>9.0719999999999992</v>
      </c>
      <c r="H79" s="17">
        <v>142.322</v>
      </c>
      <c r="I79" s="17"/>
      <c r="J79" s="17"/>
    </row>
    <row r="80" spans="1:10" ht="45" x14ac:dyDescent="0.2">
      <c r="A80" s="11" t="s">
        <v>540</v>
      </c>
      <c r="B80" s="12" t="s">
        <v>541</v>
      </c>
      <c r="C80" s="12"/>
      <c r="D80" s="12"/>
      <c r="E80" s="13"/>
      <c r="F80" s="13"/>
      <c r="G80" s="13">
        <v>12.336</v>
      </c>
      <c r="H80" s="13">
        <v>4.2359999999999998</v>
      </c>
      <c r="I80" s="13"/>
      <c r="J80" s="13"/>
    </row>
    <row r="81" spans="1:11" ht="45" x14ac:dyDescent="0.2">
      <c r="A81" s="15" t="s">
        <v>540</v>
      </c>
      <c r="B81" s="16" t="s">
        <v>542</v>
      </c>
      <c r="C81" s="16" t="s">
        <v>23</v>
      </c>
      <c r="D81" s="16" t="s">
        <v>24</v>
      </c>
      <c r="E81" s="17"/>
      <c r="F81" s="17"/>
      <c r="G81" s="17">
        <v>12.336</v>
      </c>
      <c r="H81" s="17">
        <v>4.2359999999999998</v>
      </c>
      <c r="I81" s="17"/>
      <c r="J81" s="17"/>
    </row>
    <row r="82" spans="1:11" s="195" customFormat="1" ht="33.75" x14ac:dyDescent="0.2">
      <c r="A82" s="196" t="s">
        <v>435</v>
      </c>
      <c r="B82" s="193" t="s">
        <v>846</v>
      </c>
      <c r="C82" s="193"/>
      <c r="D82" s="193"/>
      <c r="E82" s="194"/>
      <c r="F82" s="194">
        <v>-28.1</v>
      </c>
      <c r="G82" s="194"/>
      <c r="H82" s="194">
        <v>-41.454000000000001</v>
      </c>
      <c r="I82" s="194"/>
      <c r="J82" s="194">
        <v>147.524</v>
      </c>
    </row>
    <row r="83" spans="1:11" ht="33.75" x14ac:dyDescent="0.2">
      <c r="A83" s="15" t="s">
        <v>435</v>
      </c>
      <c r="B83" s="16" t="s">
        <v>705</v>
      </c>
      <c r="C83" s="16" t="s">
        <v>23</v>
      </c>
      <c r="D83" s="16" t="s">
        <v>24</v>
      </c>
      <c r="E83" s="17"/>
      <c r="F83" s="17">
        <v>-28.1</v>
      </c>
      <c r="G83" s="17"/>
      <c r="H83" s="17"/>
      <c r="I83" s="17"/>
      <c r="J83" s="17"/>
    </row>
    <row r="84" spans="1:11" ht="56.25" x14ac:dyDescent="0.2">
      <c r="A84" s="11" t="s">
        <v>706</v>
      </c>
      <c r="B84" s="12" t="s">
        <v>543</v>
      </c>
      <c r="C84" s="12"/>
      <c r="D84" s="12"/>
      <c r="E84" s="13"/>
      <c r="F84" s="13"/>
      <c r="G84" s="13"/>
      <c r="H84" s="13">
        <v>-55.762999999999998</v>
      </c>
      <c r="I84" s="13"/>
      <c r="J84" s="13"/>
    </row>
    <row r="85" spans="1:11" ht="45" x14ac:dyDescent="0.2">
      <c r="A85" s="15" t="s">
        <v>706</v>
      </c>
      <c r="B85" s="16" t="s">
        <v>544</v>
      </c>
      <c r="C85" s="16" t="s">
        <v>23</v>
      </c>
      <c r="D85" s="16" t="s">
        <v>24</v>
      </c>
      <c r="E85" s="17"/>
      <c r="F85" s="17"/>
      <c r="G85" s="17"/>
      <c r="H85" s="17">
        <v>-55.762999999999998</v>
      </c>
      <c r="I85" s="17"/>
      <c r="J85" s="17"/>
    </row>
    <row r="86" spans="1:11" ht="33.75" x14ac:dyDescent="0.2">
      <c r="A86" s="11" t="s">
        <v>436</v>
      </c>
      <c r="B86" s="12" t="s">
        <v>545</v>
      </c>
      <c r="C86" s="12"/>
      <c r="D86" s="12"/>
      <c r="E86" s="13"/>
      <c r="F86" s="13"/>
      <c r="G86" s="13"/>
      <c r="H86" s="13">
        <v>14.308999999999999</v>
      </c>
      <c r="I86" s="13"/>
      <c r="J86" s="13"/>
    </row>
    <row r="87" spans="1:11" ht="33.75" x14ac:dyDescent="0.2">
      <c r="A87" s="15" t="s">
        <v>436</v>
      </c>
      <c r="B87" s="16" t="s">
        <v>546</v>
      </c>
      <c r="C87" s="16" t="s">
        <v>23</v>
      </c>
      <c r="D87" s="16" t="s">
        <v>24</v>
      </c>
      <c r="E87" s="17"/>
      <c r="F87" s="17"/>
      <c r="G87" s="17"/>
      <c r="H87" s="17">
        <v>14.308999999999999</v>
      </c>
      <c r="I87" s="17"/>
      <c r="J87" s="17"/>
    </row>
    <row r="88" spans="1:11" s="73" customFormat="1" ht="28.5" customHeight="1" x14ac:dyDescent="0.2">
      <c r="A88" s="68" t="s">
        <v>73</v>
      </c>
      <c r="B88" s="69" t="s">
        <v>74</v>
      </c>
      <c r="C88" s="69"/>
      <c r="D88" s="69"/>
      <c r="E88" s="70">
        <v>40079.5</v>
      </c>
      <c r="F88" s="71">
        <v>31606.7</v>
      </c>
      <c r="G88" s="111">
        <v>715.15700000000004</v>
      </c>
      <c r="H88" s="107">
        <v>30930.583999999999</v>
      </c>
      <c r="I88" s="107">
        <v>77.173000000000002</v>
      </c>
      <c r="J88" s="72">
        <v>97.861000000000004</v>
      </c>
      <c r="K88" s="64"/>
    </row>
    <row r="89" spans="1:11" s="195" customFormat="1" ht="22.5" x14ac:dyDescent="0.2">
      <c r="A89" s="196" t="s">
        <v>73</v>
      </c>
      <c r="B89" s="193" t="s">
        <v>75</v>
      </c>
      <c r="C89" s="193"/>
      <c r="D89" s="193"/>
      <c r="E89" s="194">
        <v>40079.5</v>
      </c>
      <c r="F89" s="194">
        <v>31606.7</v>
      </c>
      <c r="G89" s="194">
        <v>715.15700000000004</v>
      </c>
      <c r="H89" s="194">
        <v>30927.737000000001</v>
      </c>
      <c r="I89" s="194">
        <v>77.165999999999997</v>
      </c>
      <c r="J89" s="194">
        <v>97.852000000000004</v>
      </c>
    </row>
    <row r="90" spans="1:11" ht="45" x14ac:dyDescent="0.2">
      <c r="A90" s="11" t="s">
        <v>76</v>
      </c>
      <c r="B90" s="12" t="s">
        <v>77</v>
      </c>
      <c r="C90" s="12"/>
      <c r="D90" s="12"/>
      <c r="E90" s="13">
        <v>40079.5</v>
      </c>
      <c r="F90" s="13">
        <v>31606.7</v>
      </c>
      <c r="G90" s="13">
        <v>689.197</v>
      </c>
      <c r="H90" s="13">
        <v>30728.127</v>
      </c>
      <c r="I90" s="13">
        <v>76.668000000000006</v>
      </c>
      <c r="J90" s="13">
        <v>97.22</v>
      </c>
      <c r="K90" s="67">
        <f>H90+H93+H95+H97</f>
        <v>30927.737000000001</v>
      </c>
    </row>
    <row r="91" spans="1:11" ht="45" x14ac:dyDescent="0.2">
      <c r="A91" s="15" t="s">
        <v>76</v>
      </c>
      <c r="B91" s="16" t="s">
        <v>78</v>
      </c>
      <c r="C91" s="16" t="s">
        <v>23</v>
      </c>
      <c r="D91" s="16" t="s">
        <v>24</v>
      </c>
      <c r="E91" s="17">
        <v>40079.5</v>
      </c>
      <c r="F91" s="17">
        <v>31606.7</v>
      </c>
      <c r="G91" s="17">
        <v>689.197</v>
      </c>
      <c r="H91" s="17">
        <v>30728.127</v>
      </c>
      <c r="I91" s="17">
        <v>76.668000000000006</v>
      </c>
      <c r="J91" s="17">
        <v>97.22</v>
      </c>
    </row>
    <row r="92" spans="1:11" ht="33.75" x14ac:dyDescent="0.2">
      <c r="A92" s="11" t="s">
        <v>79</v>
      </c>
      <c r="B92" s="12" t="s">
        <v>80</v>
      </c>
      <c r="C92" s="12"/>
      <c r="D92" s="12"/>
      <c r="E92" s="13"/>
      <c r="F92" s="13"/>
      <c r="G92" s="13">
        <v>11.238</v>
      </c>
      <c r="H92" s="13">
        <v>87.79</v>
      </c>
      <c r="I92" s="13"/>
      <c r="J92" s="13"/>
    </row>
    <row r="93" spans="1:11" ht="22.5" x14ac:dyDescent="0.2">
      <c r="A93" s="15" t="s">
        <v>79</v>
      </c>
      <c r="B93" s="16" t="s">
        <v>81</v>
      </c>
      <c r="C93" s="16" t="s">
        <v>23</v>
      </c>
      <c r="D93" s="16" t="s">
        <v>24</v>
      </c>
      <c r="E93" s="17"/>
      <c r="F93" s="17"/>
      <c r="G93" s="17">
        <v>11.238</v>
      </c>
      <c r="H93" s="17">
        <v>87.79</v>
      </c>
      <c r="I93" s="17"/>
      <c r="J93" s="17"/>
    </row>
    <row r="94" spans="1:11" ht="45" x14ac:dyDescent="0.2">
      <c r="A94" s="11" t="s">
        <v>82</v>
      </c>
      <c r="B94" s="12" t="s">
        <v>83</v>
      </c>
      <c r="C94" s="12"/>
      <c r="D94" s="12"/>
      <c r="E94" s="13"/>
      <c r="F94" s="13"/>
      <c r="G94" s="13">
        <v>12.852</v>
      </c>
      <c r="H94" s="13">
        <v>109.95</v>
      </c>
      <c r="I94" s="13"/>
      <c r="J94" s="13"/>
    </row>
    <row r="95" spans="1:11" ht="45" x14ac:dyDescent="0.2">
      <c r="A95" s="15" t="s">
        <v>82</v>
      </c>
      <c r="B95" s="16" t="s">
        <v>84</v>
      </c>
      <c r="C95" s="16" t="s">
        <v>23</v>
      </c>
      <c r="D95" s="16" t="s">
        <v>24</v>
      </c>
      <c r="E95" s="17"/>
      <c r="F95" s="17"/>
      <c r="G95" s="17">
        <v>12.852</v>
      </c>
      <c r="H95" s="17">
        <v>109.95</v>
      </c>
      <c r="I95" s="17"/>
      <c r="J95" s="17"/>
    </row>
    <row r="96" spans="1:11" ht="22.5" x14ac:dyDescent="0.2">
      <c r="A96" s="11" t="s">
        <v>85</v>
      </c>
      <c r="B96" s="12" t="s">
        <v>86</v>
      </c>
      <c r="C96" s="12"/>
      <c r="D96" s="12"/>
      <c r="E96" s="13"/>
      <c r="F96" s="13"/>
      <c r="G96" s="13">
        <v>1.87</v>
      </c>
      <c r="H96" s="13">
        <v>1.87</v>
      </c>
      <c r="I96" s="13"/>
      <c r="J96" s="13"/>
    </row>
    <row r="97" spans="1:11" ht="22.5" x14ac:dyDescent="0.2">
      <c r="A97" s="15" t="s">
        <v>85</v>
      </c>
      <c r="B97" s="16" t="s">
        <v>87</v>
      </c>
      <c r="C97" s="16" t="s">
        <v>23</v>
      </c>
      <c r="D97" s="16" t="s">
        <v>24</v>
      </c>
      <c r="E97" s="17"/>
      <c r="F97" s="17"/>
      <c r="G97" s="17">
        <v>1.87</v>
      </c>
      <c r="H97" s="17">
        <v>1.87</v>
      </c>
      <c r="I97" s="17"/>
      <c r="J97" s="17"/>
    </row>
    <row r="98" spans="1:11" s="195" customFormat="1" ht="33.75" x14ac:dyDescent="0.2">
      <c r="A98" s="196" t="s">
        <v>88</v>
      </c>
      <c r="B98" s="193" t="s">
        <v>89</v>
      </c>
      <c r="C98" s="193"/>
      <c r="D98" s="193"/>
      <c r="E98" s="194"/>
      <c r="F98" s="194"/>
      <c r="G98" s="194"/>
      <c r="H98" s="194">
        <v>2.847</v>
      </c>
      <c r="I98" s="194"/>
      <c r="J98" s="194"/>
    </row>
    <row r="99" spans="1:11" ht="67.5" x14ac:dyDescent="0.2">
      <c r="A99" s="11" t="s">
        <v>90</v>
      </c>
      <c r="B99" s="12" t="s">
        <v>91</v>
      </c>
      <c r="C99" s="12"/>
      <c r="D99" s="12"/>
      <c r="E99" s="13"/>
      <c r="F99" s="13"/>
      <c r="G99" s="13"/>
      <c r="H99" s="13">
        <v>2.5489999999999999</v>
      </c>
      <c r="I99" s="13"/>
      <c r="J99" s="13"/>
    </row>
    <row r="100" spans="1:11" ht="56.25" x14ac:dyDescent="0.2">
      <c r="A100" s="15" t="s">
        <v>90</v>
      </c>
      <c r="B100" s="16" t="s">
        <v>92</v>
      </c>
      <c r="C100" s="16" t="s">
        <v>23</v>
      </c>
      <c r="D100" s="16" t="s">
        <v>24</v>
      </c>
      <c r="E100" s="17"/>
      <c r="F100" s="17"/>
      <c r="G100" s="17"/>
      <c r="H100" s="17">
        <v>2.5489999999999999</v>
      </c>
      <c r="I100" s="17"/>
      <c r="J100" s="17"/>
    </row>
    <row r="101" spans="1:11" ht="45" x14ac:dyDescent="0.2">
      <c r="A101" s="11" t="s">
        <v>93</v>
      </c>
      <c r="B101" s="12" t="s">
        <v>94</v>
      </c>
      <c r="C101" s="12"/>
      <c r="D101" s="12"/>
      <c r="E101" s="13"/>
      <c r="F101" s="13"/>
      <c r="G101" s="13"/>
      <c r="H101" s="13">
        <v>0.29799999999999999</v>
      </c>
      <c r="I101" s="13"/>
      <c r="J101" s="13"/>
    </row>
    <row r="102" spans="1:11" ht="33.75" x14ac:dyDescent="0.2">
      <c r="A102" s="15" t="s">
        <v>93</v>
      </c>
      <c r="B102" s="16" t="s">
        <v>95</v>
      </c>
      <c r="C102" s="16" t="s">
        <v>23</v>
      </c>
      <c r="D102" s="16" t="s">
        <v>24</v>
      </c>
      <c r="E102" s="17"/>
      <c r="F102" s="17"/>
      <c r="G102" s="17"/>
      <c r="H102" s="17">
        <v>0.29799999999999999</v>
      </c>
      <c r="I102" s="17"/>
      <c r="J102" s="17"/>
    </row>
    <row r="103" spans="1:11" s="73" customFormat="1" ht="28.5" customHeight="1" x14ac:dyDescent="0.2">
      <c r="A103" s="68" t="s">
        <v>96</v>
      </c>
      <c r="B103" s="69" t="s">
        <v>97</v>
      </c>
      <c r="C103" s="69"/>
      <c r="D103" s="69"/>
      <c r="E103" s="70">
        <v>815</v>
      </c>
      <c r="F103" s="71">
        <v>297</v>
      </c>
      <c r="G103" s="111">
        <v>6.41</v>
      </c>
      <c r="H103" s="107">
        <v>307.06299999999999</v>
      </c>
      <c r="I103" s="107">
        <v>37.676000000000002</v>
      </c>
      <c r="J103" s="72">
        <v>103.38800000000001</v>
      </c>
      <c r="K103" s="64"/>
    </row>
    <row r="104" spans="1:11" s="195" customFormat="1" x14ac:dyDescent="0.2">
      <c r="A104" s="196" t="s">
        <v>96</v>
      </c>
      <c r="B104" s="193" t="s">
        <v>98</v>
      </c>
      <c r="C104" s="193"/>
      <c r="D104" s="193"/>
      <c r="E104" s="194">
        <v>815</v>
      </c>
      <c r="F104" s="194">
        <v>297</v>
      </c>
      <c r="G104" s="194">
        <v>6.41</v>
      </c>
      <c r="H104" s="194">
        <v>307.036</v>
      </c>
      <c r="I104" s="194">
        <v>37.673000000000002</v>
      </c>
      <c r="J104" s="194">
        <v>103.379</v>
      </c>
    </row>
    <row r="105" spans="1:11" x14ac:dyDescent="0.2">
      <c r="A105" s="15" t="s">
        <v>96</v>
      </c>
      <c r="B105" s="16" t="s">
        <v>99</v>
      </c>
      <c r="C105" s="16" t="s">
        <v>23</v>
      </c>
      <c r="D105" s="16" t="s">
        <v>24</v>
      </c>
      <c r="E105" s="17">
        <v>815</v>
      </c>
      <c r="F105" s="17">
        <v>297</v>
      </c>
      <c r="G105" s="17"/>
      <c r="H105" s="17"/>
      <c r="I105" s="17"/>
      <c r="J105" s="17"/>
    </row>
    <row r="106" spans="1:11" ht="45" x14ac:dyDescent="0.2">
      <c r="A106" s="11" t="s">
        <v>100</v>
      </c>
      <c r="B106" s="12" t="s">
        <v>101</v>
      </c>
      <c r="C106" s="12"/>
      <c r="D106" s="12"/>
      <c r="E106" s="13"/>
      <c r="F106" s="13"/>
      <c r="G106" s="13">
        <v>4.1829999999999998</v>
      </c>
      <c r="H106" s="13">
        <v>302.38799999999998</v>
      </c>
      <c r="I106" s="13"/>
      <c r="J106" s="13"/>
    </row>
    <row r="107" spans="1:11" ht="45" x14ac:dyDescent="0.2">
      <c r="A107" s="15" t="s">
        <v>100</v>
      </c>
      <c r="B107" s="16" t="s">
        <v>102</v>
      </c>
      <c r="C107" s="16" t="s">
        <v>23</v>
      </c>
      <c r="D107" s="16" t="s">
        <v>24</v>
      </c>
      <c r="E107" s="17"/>
      <c r="F107" s="17"/>
      <c r="G107" s="17">
        <v>4.1829999999999998</v>
      </c>
      <c r="H107" s="17">
        <v>302.38799999999998</v>
      </c>
      <c r="I107" s="17"/>
      <c r="J107" s="17"/>
    </row>
    <row r="108" spans="1:11" ht="22.5" x14ac:dyDescent="0.2">
      <c r="A108" s="11" t="s">
        <v>103</v>
      </c>
      <c r="B108" s="12" t="s">
        <v>104</v>
      </c>
      <c r="C108" s="12"/>
      <c r="D108" s="12"/>
      <c r="E108" s="13"/>
      <c r="F108" s="13"/>
      <c r="G108" s="13">
        <v>1.978</v>
      </c>
      <c r="H108" s="13">
        <v>2.423</v>
      </c>
      <c r="I108" s="13"/>
      <c r="J108" s="13"/>
    </row>
    <row r="109" spans="1:11" ht="22.5" x14ac:dyDescent="0.2">
      <c r="A109" s="15" t="s">
        <v>103</v>
      </c>
      <c r="B109" s="16" t="s">
        <v>105</v>
      </c>
      <c r="C109" s="16" t="s">
        <v>23</v>
      </c>
      <c r="D109" s="16" t="s">
        <v>24</v>
      </c>
      <c r="E109" s="17"/>
      <c r="F109" s="17"/>
      <c r="G109" s="17">
        <v>1.978</v>
      </c>
      <c r="H109" s="17">
        <v>2.423</v>
      </c>
      <c r="I109" s="17"/>
      <c r="J109" s="17"/>
    </row>
    <row r="110" spans="1:11" ht="45" x14ac:dyDescent="0.2">
      <c r="A110" s="11" t="s">
        <v>106</v>
      </c>
      <c r="B110" s="12" t="s">
        <v>107</v>
      </c>
      <c r="C110" s="12"/>
      <c r="D110" s="12"/>
      <c r="E110" s="13"/>
      <c r="F110" s="13"/>
      <c r="G110" s="13">
        <v>0.25</v>
      </c>
      <c r="H110" s="13">
        <v>2.2250000000000001</v>
      </c>
      <c r="I110" s="13"/>
      <c r="J110" s="13"/>
    </row>
    <row r="111" spans="1:11" ht="33.75" x14ac:dyDescent="0.2">
      <c r="A111" s="15" t="s">
        <v>106</v>
      </c>
      <c r="B111" s="16" t="s">
        <v>108</v>
      </c>
      <c r="C111" s="16" t="s">
        <v>23</v>
      </c>
      <c r="D111" s="16" t="s">
        <v>24</v>
      </c>
      <c r="E111" s="17"/>
      <c r="F111" s="17"/>
      <c r="G111" s="17">
        <v>0.25</v>
      </c>
      <c r="H111" s="17">
        <v>2.2250000000000001</v>
      </c>
      <c r="I111" s="17"/>
      <c r="J111" s="17"/>
    </row>
    <row r="112" spans="1:11" s="195" customFormat="1" ht="22.5" x14ac:dyDescent="0.2">
      <c r="A112" s="196" t="s">
        <v>109</v>
      </c>
      <c r="B112" s="193" t="s">
        <v>847</v>
      </c>
      <c r="C112" s="193"/>
      <c r="D112" s="193"/>
      <c r="E112" s="194"/>
      <c r="F112" s="194"/>
      <c r="G112" s="194"/>
      <c r="H112" s="194">
        <v>2.5999999999999999E-2</v>
      </c>
      <c r="I112" s="194"/>
      <c r="J112" s="194"/>
    </row>
    <row r="113" spans="1:11" ht="33.75" x14ac:dyDescent="0.2">
      <c r="A113" s="11" t="s">
        <v>848</v>
      </c>
      <c r="B113" s="12" t="s">
        <v>849</v>
      </c>
      <c r="C113" s="12"/>
      <c r="D113" s="12"/>
      <c r="E113" s="13"/>
      <c r="F113" s="13"/>
      <c r="G113" s="13"/>
      <c r="H113" s="13">
        <v>2.5999999999999999E-2</v>
      </c>
      <c r="I113" s="13"/>
      <c r="J113" s="13"/>
    </row>
    <row r="114" spans="1:11" ht="33.75" x14ac:dyDescent="0.2">
      <c r="A114" s="15" t="s">
        <v>848</v>
      </c>
      <c r="B114" s="16" t="s">
        <v>1028</v>
      </c>
      <c r="C114" s="16" t="s">
        <v>23</v>
      </c>
      <c r="D114" s="16" t="s">
        <v>24</v>
      </c>
      <c r="E114" s="17"/>
      <c r="F114" s="17"/>
      <c r="G114" s="17"/>
      <c r="H114" s="17">
        <v>2.5999999999999999E-2</v>
      </c>
      <c r="I114" s="17"/>
      <c r="J114" s="17"/>
    </row>
    <row r="115" spans="1:11" s="73" customFormat="1" ht="28.5" customHeight="1" x14ac:dyDescent="0.2">
      <c r="A115" s="68" t="s">
        <v>111</v>
      </c>
      <c r="B115" s="69" t="s">
        <v>112</v>
      </c>
      <c r="C115" s="69"/>
      <c r="D115" s="69"/>
      <c r="E115" s="70">
        <v>44</v>
      </c>
      <c r="F115" s="71">
        <v>62.6</v>
      </c>
      <c r="G115" s="111"/>
      <c r="H115" s="107">
        <v>56.188000000000002</v>
      </c>
      <c r="I115" s="107">
        <v>127.7</v>
      </c>
      <c r="J115" s="72">
        <v>89.757000000000005</v>
      </c>
      <c r="K115" s="64"/>
    </row>
    <row r="116" spans="1:11" ht="33.75" x14ac:dyDescent="0.2">
      <c r="A116" s="11" t="s">
        <v>547</v>
      </c>
      <c r="B116" s="12" t="s">
        <v>114</v>
      </c>
      <c r="C116" s="12"/>
      <c r="D116" s="12"/>
      <c r="E116" s="13">
        <v>44</v>
      </c>
      <c r="F116" s="13">
        <v>62.6</v>
      </c>
      <c r="G116" s="13"/>
      <c r="H116" s="13">
        <v>56.188000000000002</v>
      </c>
      <c r="I116" s="13">
        <v>127.7</v>
      </c>
      <c r="J116" s="13">
        <v>89.757000000000005</v>
      </c>
    </row>
    <row r="117" spans="1:11" ht="33.75" x14ac:dyDescent="0.2">
      <c r="A117" s="15" t="s">
        <v>547</v>
      </c>
      <c r="B117" s="16" t="s">
        <v>439</v>
      </c>
      <c r="C117" s="16" t="s">
        <v>23</v>
      </c>
      <c r="D117" s="16" t="s">
        <v>24</v>
      </c>
      <c r="E117" s="17">
        <v>44</v>
      </c>
      <c r="F117" s="17">
        <v>62.6</v>
      </c>
      <c r="G117" s="17"/>
      <c r="H117" s="17"/>
      <c r="I117" s="17"/>
      <c r="J117" s="17"/>
    </row>
    <row r="118" spans="1:11" ht="67.5" x14ac:dyDescent="0.2">
      <c r="A118" s="11" t="s">
        <v>115</v>
      </c>
      <c r="B118" s="12" t="s">
        <v>116</v>
      </c>
      <c r="C118" s="12"/>
      <c r="D118" s="12"/>
      <c r="E118" s="13"/>
      <c r="F118" s="13"/>
      <c r="G118" s="13"/>
      <c r="H118" s="13">
        <v>56.1</v>
      </c>
      <c r="I118" s="13"/>
      <c r="J118" s="13"/>
    </row>
    <row r="119" spans="1:11" ht="56.25" x14ac:dyDescent="0.2">
      <c r="A119" s="15" t="s">
        <v>115</v>
      </c>
      <c r="B119" s="16" t="s">
        <v>117</v>
      </c>
      <c r="C119" s="16" t="s">
        <v>23</v>
      </c>
      <c r="D119" s="16" t="s">
        <v>24</v>
      </c>
      <c r="E119" s="17"/>
      <c r="F119" s="17"/>
      <c r="G119" s="17"/>
      <c r="H119" s="17">
        <v>56.1</v>
      </c>
      <c r="I119" s="17"/>
      <c r="J119" s="17"/>
    </row>
    <row r="120" spans="1:11" ht="45" x14ac:dyDescent="0.2">
      <c r="A120" s="11" t="s">
        <v>118</v>
      </c>
      <c r="B120" s="12" t="s">
        <v>707</v>
      </c>
      <c r="C120" s="12"/>
      <c r="D120" s="12"/>
      <c r="E120" s="13"/>
      <c r="F120" s="13"/>
      <c r="G120" s="13"/>
      <c r="H120" s="13">
        <v>8.7999999999999995E-2</v>
      </c>
      <c r="I120" s="13"/>
      <c r="J120" s="13"/>
    </row>
    <row r="121" spans="1:11" ht="45" x14ac:dyDescent="0.2">
      <c r="A121" s="15" t="s">
        <v>118</v>
      </c>
      <c r="B121" s="16" t="s">
        <v>708</v>
      </c>
      <c r="C121" s="16" t="s">
        <v>23</v>
      </c>
      <c r="D121" s="16" t="s">
        <v>24</v>
      </c>
      <c r="E121" s="17"/>
      <c r="F121" s="17"/>
      <c r="G121" s="17"/>
      <c r="H121" s="17">
        <v>8.7999999999999995E-2</v>
      </c>
      <c r="I121" s="17"/>
      <c r="J121" s="17"/>
    </row>
    <row r="122" spans="1:11" s="73" customFormat="1" ht="28.5" customHeight="1" x14ac:dyDescent="0.2">
      <c r="A122" s="68" t="s">
        <v>119</v>
      </c>
      <c r="B122" s="69" t="s">
        <v>120</v>
      </c>
      <c r="C122" s="69"/>
      <c r="D122" s="69"/>
      <c r="E122" s="70">
        <v>8120</v>
      </c>
      <c r="F122" s="71">
        <v>9722.2000000000007</v>
      </c>
      <c r="G122" s="111">
        <v>746.63199999999995</v>
      </c>
      <c r="H122" s="107">
        <v>9355.9339999999993</v>
      </c>
      <c r="I122" s="107">
        <v>115.221</v>
      </c>
      <c r="J122" s="72">
        <v>96.233000000000004</v>
      </c>
      <c r="K122" s="64"/>
    </row>
    <row r="123" spans="1:11" ht="33.75" x14ac:dyDescent="0.2">
      <c r="A123" s="11" t="s">
        <v>121</v>
      </c>
      <c r="B123" s="12" t="s">
        <v>122</v>
      </c>
      <c r="C123" s="12"/>
      <c r="D123" s="12"/>
      <c r="E123" s="13">
        <v>8100</v>
      </c>
      <c r="F123" s="13">
        <v>9722.2000000000007</v>
      </c>
      <c r="G123" s="13">
        <v>746.63199999999995</v>
      </c>
      <c r="H123" s="13">
        <v>9355.9339999999993</v>
      </c>
      <c r="I123" s="13">
        <v>115.505</v>
      </c>
      <c r="J123" s="13">
        <v>96.233000000000004</v>
      </c>
    </row>
    <row r="124" spans="1:11" ht="45" x14ac:dyDescent="0.2">
      <c r="A124" s="11" t="s">
        <v>123</v>
      </c>
      <c r="B124" s="12" t="s">
        <v>124</v>
      </c>
      <c r="C124" s="12"/>
      <c r="D124" s="12"/>
      <c r="E124" s="13">
        <v>8100</v>
      </c>
      <c r="F124" s="13">
        <v>9722.2000000000007</v>
      </c>
      <c r="G124" s="13">
        <v>746.63199999999995</v>
      </c>
      <c r="H124" s="13">
        <v>9355.9339999999993</v>
      </c>
      <c r="I124" s="13">
        <v>115.505</v>
      </c>
      <c r="J124" s="13">
        <v>96.233000000000004</v>
      </c>
    </row>
    <row r="125" spans="1:11" ht="33.75" x14ac:dyDescent="0.2">
      <c r="A125" s="15" t="s">
        <v>123</v>
      </c>
      <c r="B125" s="16" t="s">
        <v>125</v>
      </c>
      <c r="C125" s="16" t="s">
        <v>23</v>
      </c>
      <c r="D125" s="16" t="s">
        <v>24</v>
      </c>
      <c r="E125" s="17">
        <v>8100</v>
      </c>
      <c r="F125" s="17">
        <v>9722.2000000000007</v>
      </c>
      <c r="G125" s="17"/>
      <c r="H125" s="17"/>
      <c r="I125" s="17"/>
      <c r="J125" s="17"/>
    </row>
    <row r="126" spans="1:11" ht="78.75" x14ac:dyDescent="0.2">
      <c r="A126" s="14" t="s">
        <v>126</v>
      </c>
      <c r="B126" s="12" t="s">
        <v>127</v>
      </c>
      <c r="C126" s="12"/>
      <c r="D126" s="12"/>
      <c r="E126" s="13"/>
      <c r="F126" s="13"/>
      <c r="G126" s="13">
        <v>746.03200000000004</v>
      </c>
      <c r="H126" s="13">
        <v>9355.634</v>
      </c>
      <c r="I126" s="13"/>
      <c r="J126" s="13"/>
    </row>
    <row r="127" spans="1:11" ht="67.5" x14ac:dyDescent="0.2">
      <c r="A127" s="18" t="s">
        <v>126</v>
      </c>
      <c r="B127" s="16" t="s">
        <v>128</v>
      </c>
      <c r="C127" s="16" t="s">
        <v>23</v>
      </c>
      <c r="D127" s="16" t="s">
        <v>24</v>
      </c>
      <c r="E127" s="17"/>
      <c r="F127" s="17"/>
      <c r="G127" s="17">
        <v>746.03200000000004</v>
      </c>
      <c r="H127" s="17">
        <v>9355.634</v>
      </c>
      <c r="I127" s="17"/>
      <c r="J127" s="17"/>
    </row>
    <row r="128" spans="1:11" ht="45" x14ac:dyDescent="0.2">
      <c r="A128" s="11" t="s">
        <v>548</v>
      </c>
      <c r="B128" s="12" t="s">
        <v>549</v>
      </c>
      <c r="C128" s="12"/>
      <c r="D128" s="12"/>
      <c r="E128" s="13"/>
      <c r="F128" s="13"/>
      <c r="G128" s="13">
        <v>0.6</v>
      </c>
      <c r="H128" s="13">
        <v>0.3</v>
      </c>
      <c r="I128" s="13"/>
      <c r="J128" s="13"/>
    </row>
    <row r="129" spans="1:14" ht="45" x14ac:dyDescent="0.2">
      <c r="A129" s="15" t="s">
        <v>548</v>
      </c>
      <c r="B129" s="16" t="s">
        <v>550</v>
      </c>
      <c r="C129" s="16" t="s">
        <v>23</v>
      </c>
      <c r="D129" s="16" t="s">
        <v>24</v>
      </c>
      <c r="E129" s="17"/>
      <c r="F129" s="17"/>
      <c r="G129" s="17">
        <v>0.6</v>
      </c>
      <c r="H129" s="17">
        <v>0.3</v>
      </c>
      <c r="I129" s="17"/>
      <c r="J129" s="17"/>
    </row>
    <row r="130" spans="1:14" ht="33.75" x14ac:dyDescent="0.2">
      <c r="A130" s="11" t="s">
        <v>129</v>
      </c>
      <c r="B130" s="12" t="s">
        <v>130</v>
      </c>
      <c r="C130" s="12"/>
      <c r="D130" s="12"/>
      <c r="E130" s="13">
        <v>20</v>
      </c>
      <c r="F130" s="13"/>
      <c r="G130" s="13"/>
      <c r="H130" s="13"/>
      <c r="I130" s="13"/>
      <c r="J130" s="13"/>
    </row>
    <row r="131" spans="1:14" ht="22.5" x14ac:dyDescent="0.2">
      <c r="A131" s="11" t="s">
        <v>131</v>
      </c>
      <c r="B131" s="12" t="s">
        <v>132</v>
      </c>
      <c r="C131" s="12"/>
      <c r="D131" s="12"/>
      <c r="E131" s="13">
        <v>20</v>
      </c>
      <c r="F131" s="13"/>
      <c r="G131" s="13"/>
      <c r="H131" s="13"/>
      <c r="I131" s="13"/>
      <c r="J131" s="13"/>
    </row>
    <row r="132" spans="1:14" ht="22.5" x14ac:dyDescent="0.2">
      <c r="A132" s="15" t="s">
        <v>131</v>
      </c>
      <c r="B132" s="16" t="s">
        <v>133</v>
      </c>
      <c r="C132" s="16" t="s">
        <v>23</v>
      </c>
      <c r="D132" s="16" t="s">
        <v>24</v>
      </c>
      <c r="E132" s="17">
        <v>20</v>
      </c>
      <c r="F132" s="17"/>
      <c r="G132" s="17"/>
      <c r="H132" s="17"/>
      <c r="I132" s="17"/>
      <c r="J132" s="17"/>
    </row>
    <row r="133" spans="1:14" s="80" customFormat="1" ht="36" x14ac:dyDescent="0.2">
      <c r="A133" s="74" t="s">
        <v>135</v>
      </c>
      <c r="B133" s="75" t="s">
        <v>136</v>
      </c>
      <c r="C133" s="76"/>
      <c r="D133" s="76"/>
      <c r="E133" s="77"/>
      <c r="F133" s="78"/>
      <c r="G133" s="112"/>
      <c r="H133" s="104">
        <v>0.19500000000000001</v>
      </c>
      <c r="I133" s="104"/>
      <c r="J133" s="79"/>
      <c r="K133" s="64"/>
    </row>
    <row r="134" spans="1:14" ht="22.5" x14ac:dyDescent="0.2">
      <c r="A134" s="11" t="s">
        <v>709</v>
      </c>
      <c r="B134" s="12" t="s">
        <v>710</v>
      </c>
      <c r="C134" s="12"/>
      <c r="D134" s="12"/>
      <c r="E134" s="13"/>
      <c r="F134" s="13"/>
      <c r="G134" s="13"/>
      <c r="H134" s="13">
        <v>0.19500000000000001</v>
      </c>
      <c r="I134" s="13"/>
      <c r="J134" s="13"/>
    </row>
    <row r="135" spans="1:14" x14ac:dyDescent="0.2">
      <c r="A135" s="11" t="s">
        <v>711</v>
      </c>
      <c r="B135" s="12" t="s">
        <v>712</v>
      </c>
      <c r="C135" s="12"/>
      <c r="D135" s="12"/>
      <c r="E135" s="13"/>
      <c r="F135" s="13"/>
      <c r="G135" s="13"/>
      <c r="H135" s="13">
        <v>0.19500000000000001</v>
      </c>
      <c r="I135" s="13"/>
      <c r="J135" s="13"/>
    </row>
    <row r="136" spans="1:14" ht="22.5" x14ac:dyDescent="0.2">
      <c r="A136" s="11" t="s">
        <v>713</v>
      </c>
      <c r="B136" s="12" t="s">
        <v>714</v>
      </c>
      <c r="C136" s="12"/>
      <c r="D136" s="12"/>
      <c r="E136" s="13"/>
      <c r="F136" s="13"/>
      <c r="G136" s="13"/>
      <c r="H136" s="13">
        <v>0.19500000000000001</v>
      </c>
      <c r="I136" s="13"/>
      <c r="J136" s="13"/>
    </row>
    <row r="137" spans="1:14" x14ac:dyDescent="0.2">
      <c r="A137" s="15" t="s">
        <v>713</v>
      </c>
      <c r="B137" s="16" t="s">
        <v>715</v>
      </c>
      <c r="C137" s="16" t="s">
        <v>23</v>
      </c>
      <c r="D137" s="16" t="s">
        <v>24</v>
      </c>
      <c r="E137" s="17"/>
      <c r="F137" s="17"/>
      <c r="G137" s="17"/>
      <c r="H137" s="17">
        <v>0.19500000000000001</v>
      </c>
      <c r="I137" s="17"/>
      <c r="J137" s="17"/>
    </row>
    <row r="138" spans="1:14" s="80" customFormat="1" ht="36" x14ac:dyDescent="0.2">
      <c r="A138" s="74" t="s">
        <v>141</v>
      </c>
      <c r="B138" s="75" t="s">
        <v>142</v>
      </c>
      <c r="C138" s="76"/>
      <c r="D138" s="76"/>
      <c r="E138" s="77">
        <v>9290.1479999999992</v>
      </c>
      <c r="F138" s="78">
        <v>16075.65</v>
      </c>
      <c r="G138" s="112">
        <v>1653.1610000000001</v>
      </c>
      <c r="H138" s="104">
        <v>17260.202000000001</v>
      </c>
      <c r="I138" s="104">
        <v>185.79</v>
      </c>
      <c r="J138" s="79">
        <v>107.369</v>
      </c>
      <c r="K138" s="64"/>
    </row>
    <row r="139" spans="1:14" s="87" customFormat="1" ht="24" x14ac:dyDescent="0.2">
      <c r="A139" s="81" t="s">
        <v>143</v>
      </c>
      <c r="B139" s="82" t="s">
        <v>144</v>
      </c>
      <c r="C139" s="82"/>
      <c r="D139" s="82"/>
      <c r="E139" s="83">
        <v>7.9480000000000004</v>
      </c>
      <c r="F139" s="84">
        <v>8.15</v>
      </c>
      <c r="G139" s="113">
        <v>0.20200000000000001</v>
      </c>
      <c r="H139" s="104">
        <v>8.15</v>
      </c>
      <c r="I139" s="104">
        <v>102.544</v>
      </c>
      <c r="J139" s="85">
        <v>100</v>
      </c>
      <c r="K139" s="64"/>
    </row>
    <row r="140" spans="1:14" ht="33.75" x14ac:dyDescent="0.2">
      <c r="A140" s="11" t="s">
        <v>145</v>
      </c>
      <c r="B140" s="12" t="s">
        <v>146</v>
      </c>
      <c r="C140" s="12"/>
      <c r="D140" s="12"/>
      <c r="E140" s="13">
        <v>7.9480000000000004</v>
      </c>
      <c r="F140" s="13">
        <v>8.15</v>
      </c>
      <c r="G140" s="13">
        <v>0.20200000000000001</v>
      </c>
      <c r="H140" s="13">
        <v>8.15</v>
      </c>
      <c r="I140" s="13">
        <v>102.544</v>
      </c>
      <c r="J140" s="13">
        <v>100</v>
      </c>
    </row>
    <row r="141" spans="1:14" ht="33.75" x14ac:dyDescent="0.2">
      <c r="A141" s="15" t="s">
        <v>145</v>
      </c>
      <c r="B141" s="16" t="s">
        <v>147</v>
      </c>
      <c r="C141" s="16" t="s">
        <v>23</v>
      </c>
      <c r="D141" s="16" t="s">
        <v>24</v>
      </c>
      <c r="E141" s="17">
        <v>7.9480000000000004</v>
      </c>
      <c r="F141" s="17">
        <v>8.15</v>
      </c>
      <c r="G141" s="17">
        <v>0.20200000000000001</v>
      </c>
      <c r="H141" s="17">
        <v>8.15</v>
      </c>
      <c r="I141" s="17">
        <v>102.544</v>
      </c>
      <c r="J141" s="17">
        <v>100</v>
      </c>
    </row>
    <row r="142" spans="1:14" s="80" customFormat="1" ht="84" x14ac:dyDescent="0.2">
      <c r="A142" s="155" t="s">
        <v>148</v>
      </c>
      <c r="B142" s="75" t="s">
        <v>149</v>
      </c>
      <c r="C142" s="76"/>
      <c r="D142" s="76"/>
      <c r="E142" s="77">
        <v>8342.2000000000007</v>
      </c>
      <c r="F142" s="78">
        <v>15045.5</v>
      </c>
      <c r="G142" s="112">
        <v>1590.058</v>
      </c>
      <c r="H142" s="104">
        <v>16202.33</v>
      </c>
      <c r="I142" s="104">
        <v>194.221</v>
      </c>
      <c r="J142" s="79">
        <v>107.68899999999999</v>
      </c>
      <c r="K142" s="64">
        <f>G143+G150</f>
        <v>1584.4860000000001</v>
      </c>
    </row>
    <row r="143" spans="1:14" s="87" customFormat="1" ht="72" x14ac:dyDescent="0.2">
      <c r="A143" s="81" t="s">
        <v>150</v>
      </c>
      <c r="B143" s="82" t="s">
        <v>151</v>
      </c>
      <c r="C143" s="82"/>
      <c r="D143" s="82"/>
      <c r="E143" s="83">
        <v>8320.2000000000007</v>
      </c>
      <c r="F143" s="84">
        <v>14229.5</v>
      </c>
      <c r="G143" s="113">
        <v>1541.7950000000001</v>
      </c>
      <c r="H143" s="104">
        <v>15407.322</v>
      </c>
      <c r="I143" s="104">
        <v>185.18</v>
      </c>
      <c r="J143" s="85">
        <v>108.277</v>
      </c>
      <c r="K143" s="64"/>
      <c r="L143" s="86">
        <f>F143+F150</f>
        <v>15023.5</v>
      </c>
      <c r="M143" s="86">
        <f t="shared" ref="M143:N143" si="0">G143+G150</f>
        <v>1584.4860000000001</v>
      </c>
      <c r="N143" s="86">
        <f t="shared" si="0"/>
        <v>16178.431</v>
      </c>
    </row>
    <row r="144" spans="1:14" ht="78.75" x14ac:dyDescent="0.2">
      <c r="A144" s="14" t="s">
        <v>716</v>
      </c>
      <c r="B144" s="12" t="s">
        <v>462</v>
      </c>
      <c r="C144" s="12"/>
      <c r="D144" s="12"/>
      <c r="E144" s="13">
        <v>4099.6000000000004</v>
      </c>
      <c r="F144" s="13">
        <v>4603.7</v>
      </c>
      <c r="G144" s="13">
        <v>372.83699999999999</v>
      </c>
      <c r="H144" s="13">
        <v>4812.5739999999996</v>
      </c>
      <c r="I144" s="13">
        <v>117.39100000000001</v>
      </c>
      <c r="J144" s="13">
        <v>104.53700000000001</v>
      </c>
    </row>
    <row r="145" spans="1:11" ht="78.75" x14ac:dyDescent="0.2">
      <c r="A145" s="18" t="s">
        <v>716</v>
      </c>
      <c r="B145" s="16" t="s">
        <v>463</v>
      </c>
      <c r="C145" s="16" t="s">
        <v>23</v>
      </c>
      <c r="D145" s="16" t="s">
        <v>24</v>
      </c>
      <c r="E145" s="17">
        <v>4099.6000000000004</v>
      </c>
      <c r="F145" s="17">
        <v>4603.7</v>
      </c>
      <c r="G145" s="17">
        <v>372.83699999999999</v>
      </c>
      <c r="H145" s="17">
        <v>4812.5739999999996</v>
      </c>
      <c r="I145" s="17">
        <v>117.39100000000001</v>
      </c>
      <c r="J145" s="17">
        <v>104.53700000000001</v>
      </c>
    </row>
    <row r="146" spans="1:11" ht="67.5" x14ac:dyDescent="0.2">
      <c r="A146" s="14" t="s">
        <v>152</v>
      </c>
      <c r="B146" s="12" t="s">
        <v>153</v>
      </c>
      <c r="C146" s="12"/>
      <c r="D146" s="12"/>
      <c r="E146" s="13">
        <v>4220.6000000000004</v>
      </c>
      <c r="F146" s="13">
        <v>9625.7999999999993</v>
      </c>
      <c r="G146" s="13">
        <v>1168.9580000000001</v>
      </c>
      <c r="H146" s="13">
        <v>10594.749</v>
      </c>
      <c r="I146" s="13">
        <v>251.02500000000001</v>
      </c>
      <c r="J146" s="13">
        <v>110.066</v>
      </c>
    </row>
    <row r="147" spans="1:11" ht="67.5" x14ac:dyDescent="0.2">
      <c r="A147" s="18" t="s">
        <v>152</v>
      </c>
      <c r="B147" s="16" t="s">
        <v>154</v>
      </c>
      <c r="C147" s="16" t="s">
        <v>23</v>
      </c>
      <c r="D147" s="16" t="s">
        <v>24</v>
      </c>
      <c r="E147" s="17">
        <v>1934</v>
      </c>
      <c r="F147" s="17">
        <v>1718.1</v>
      </c>
      <c r="G147" s="17">
        <v>90</v>
      </c>
      <c r="H147" s="17">
        <v>1708.164</v>
      </c>
      <c r="I147" s="17">
        <v>88.322999999999993</v>
      </c>
      <c r="J147" s="17">
        <v>99.421999999999997</v>
      </c>
    </row>
    <row r="148" spans="1:11" ht="67.5" x14ac:dyDescent="0.2">
      <c r="A148" s="18" t="s">
        <v>152</v>
      </c>
      <c r="B148" s="16" t="s">
        <v>155</v>
      </c>
      <c r="C148" s="16" t="s">
        <v>23</v>
      </c>
      <c r="D148" s="16" t="s">
        <v>24</v>
      </c>
      <c r="E148" s="17">
        <v>832.8</v>
      </c>
      <c r="F148" s="17">
        <v>2654</v>
      </c>
      <c r="G148" s="17">
        <v>810.67899999999997</v>
      </c>
      <c r="H148" s="17">
        <v>3464.6610000000001</v>
      </c>
      <c r="I148" s="17">
        <v>416.02600000000001</v>
      </c>
      <c r="J148" s="17">
        <v>130.54499999999999</v>
      </c>
    </row>
    <row r="149" spans="1:11" ht="67.5" x14ac:dyDescent="0.2">
      <c r="A149" s="18" t="s">
        <v>152</v>
      </c>
      <c r="B149" s="16" t="s">
        <v>156</v>
      </c>
      <c r="C149" s="16" t="s">
        <v>23</v>
      </c>
      <c r="D149" s="16" t="s">
        <v>24</v>
      </c>
      <c r="E149" s="17">
        <v>1453.8</v>
      </c>
      <c r="F149" s="17">
        <v>5253.7</v>
      </c>
      <c r="G149" s="17">
        <v>268.279</v>
      </c>
      <c r="H149" s="17">
        <v>5421.924</v>
      </c>
      <c r="I149" s="17">
        <v>372.94799999999998</v>
      </c>
      <c r="J149" s="17">
        <v>103.202</v>
      </c>
    </row>
    <row r="150" spans="1:11" s="65" customFormat="1" ht="84" x14ac:dyDescent="0.2">
      <c r="A150" s="88" t="s">
        <v>464</v>
      </c>
      <c r="B150" s="60" t="s">
        <v>551</v>
      </c>
      <c r="C150" s="60"/>
      <c r="D150" s="60"/>
      <c r="E150" s="61"/>
      <c r="F150" s="62">
        <v>794</v>
      </c>
      <c r="G150" s="108">
        <v>42.691000000000003</v>
      </c>
      <c r="H150" s="104">
        <v>771.10900000000004</v>
      </c>
      <c r="I150" s="104"/>
      <c r="J150" s="63">
        <v>97.117000000000004</v>
      </c>
      <c r="K150" s="64"/>
    </row>
    <row r="151" spans="1:11" ht="67.5" x14ac:dyDescent="0.2">
      <c r="A151" s="11" t="s">
        <v>466</v>
      </c>
      <c r="B151" s="12" t="s">
        <v>465</v>
      </c>
      <c r="C151" s="12"/>
      <c r="D151" s="12"/>
      <c r="E151" s="13"/>
      <c r="F151" s="13">
        <v>794</v>
      </c>
      <c r="G151" s="13">
        <v>42.691000000000003</v>
      </c>
      <c r="H151" s="13">
        <v>771.10900000000004</v>
      </c>
      <c r="I151" s="13"/>
      <c r="J151" s="13">
        <v>97.117000000000004</v>
      </c>
    </row>
    <row r="152" spans="1:11" ht="67.5" x14ac:dyDescent="0.2">
      <c r="A152" s="15" t="s">
        <v>466</v>
      </c>
      <c r="B152" s="16" t="s">
        <v>467</v>
      </c>
      <c r="C152" s="16" t="s">
        <v>23</v>
      </c>
      <c r="D152" s="16" t="s">
        <v>24</v>
      </c>
      <c r="E152" s="17"/>
      <c r="F152" s="17">
        <v>794</v>
      </c>
      <c r="G152" s="17">
        <v>42.691000000000003</v>
      </c>
      <c r="H152" s="17">
        <v>771.10900000000004</v>
      </c>
      <c r="I152" s="17"/>
      <c r="J152" s="17">
        <v>97.117000000000004</v>
      </c>
    </row>
    <row r="153" spans="1:11" s="65" customFormat="1" ht="84" x14ac:dyDescent="0.2">
      <c r="A153" s="88" t="s">
        <v>157</v>
      </c>
      <c r="B153" s="60" t="s">
        <v>158</v>
      </c>
      <c r="C153" s="60"/>
      <c r="D153" s="60"/>
      <c r="E153" s="61">
        <v>22</v>
      </c>
      <c r="F153" s="62">
        <v>22</v>
      </c>
      <c r="G153" s="108">
        <v>5.5720000000000001</v>
      </c>
      <c r="H153" s="104">
        <v>23.899000000000001</v>
      </c>
      <c r="I153" s="104">
        <v>108.63200000000001</v>
      </c>
      <c r="J153" s="63">
        <v>108.63200000000001</v>
      </c>
      <c r="K153" s="64"/>
    </row>
    <row r="154" spans="1:11" ht="67.5" x14ac:dyDescent="0.2">
      <c r="A154" s="11" t="s">
        <v>159</v>
      </c>
      <c r="B154" s="12" t="s">
        <v>160</v>
      </c>
      <c r="C154" s="12"/>
      <c r="D154" s="12"/>
      <c r="E154" s="13">
        <v>22</v>
      </c>
      <c r="F154" s="13">
        <v>22</v>
      </c>
      <c r="G154" s="13">
        <v>5.5720000000000001</v>
      </c>
      <c r="H154" s="13">
        <v>23.899000000000001</v>
      </c>
      <c r="I154" s="13">
        <v>108.63200000000001</v>
      </c>
      <c r="J154" s="13">
        <v>108.63200000000001</v>
      </c>
    </row>
    <row r="155" spans="1:11" ht="56.25" x14ac:dyDescent="0.2">
      <c r="A155" s="15" t="s">
        <v>159</v>
      </c>
      <c r="B155" s="16" t="s">
        <v>161</v>
      </c>
      <c r="C155" s="16" t="s">
        <v>23</v>
      </c>
      <c r="D155" s="16" t="s">
        <v>24</v>
      </c>
      <c r="E155" s="17">
        <v>22</v>
      </c>
      <c r="F155" s="17">
        <v>22</v>
      </c>
      <c r="G155" s="17">
        <v>5.5720000000000001</v>
      </c>
      <c r="H155" s="17">
        <v>23.899000000000001</v>
      </c>
      <c r="I155" s="17">
        <v>108.63200000000001</v>
      </c>
      <c r="J155" s="17">
        <v>108.63200000000001</v>
      </c>
    </row>
    <row r="156" spans="1:11" s="65" customFormat="1" ht="84" x14ac:dyDescent="0.2">
      <c r="A156" s="88" t="s">
        <v>162</v>
      </c>
      <c r="B156" s="60" t="s">
        <v>163</v>
      </c>
      <c r="C156" s="60"/>
      <c r="D156" s="60"/>
      <c r="E156" s="61">
        <v>940</v>
      </c>
      <c r="F156" s="62">
        <v>1022</v>
      </c>
      <c r="G156" s="108">
        <v>62.901000000000003</v>
      </c>
      <c r="H156" s="104">
        <v>1049.722</v>
      </c>
      <c r="I156" s="104">
        <v>111.673</v>
      </c>
      <c r="J156" s="63">
        <v>102.71299999999999</v>
      </c>
      <c r="K156" s="64"/>
    </row>
    <row r="157" spans="1:11" ht="67.5" x14ac:dyDescent="0.2">
      <c r="A157" s="14" t="s">
        <v>164</v>
      </c>
      <c r="B157" s="12" t="s">
        <v>165</v>
      </c>
      <c r="C157" s="12"/>
      <c r="D157" s="12"/>
      <c r="E157" s="13">
        <v>940</v>
      </c>
      <c r="F157" s="13">
        <v>1022</v>
      </c>
      <c r="G157" s="13">
        <v>62.901000000000003</v>
      </c>
      <c r="H157" s="13">
        <v>1049.722</v>
      </c>
      <c r="I157" s="13">
        <v>111.673</v>
      </c>
      <c r="J157" s="13">
        <v>102.71299999999999</v>
      </c>
    </row>
    <row r="158" spans="1:11" ht="67.5" x14ac:dyDescent="0.2">
      <c r="A158" s="11" t="s">
        <v>166</v>
      </c>
      <c r="B158" s="12" t="s">
        <v>167</v>
      </c>
      <c r="C158" s="12"/>
      <c r="D158" s="12"/>
      <c r="E158" s="13">
        <v>940</v>
      </c>
      <c r="F158" s="13">
        <v>1022</v>
      </c>
      <c r="G158" s="13">
        <v>62.901000000000003</v>
      </c>
      <c r="H158" s="13">
        <v>1049.722</v>
      </c>
      <c r="I158" s="13">
        <v>111.673</v>
      </c>
      <c r="J158" s="13">
        <v>102.71299999999999</v>
      </c>
    </row>
    <row r="159" spans="1:11" ht="67.5" x14ac:dyDescent="0.2">
      <c r="A159" s="15" t="s">
        <v>166</v>
      </c>
      <c r="B159" s="16" t="s">
        <v>168</v>
      </c>
      <c r="C159" s="16" t="s">
        <v>23</v>
      </c>
      <c r="D159" s="16" t="s">
        <v>24</v>
      </c>
      <c r="E159" s="17">
        <v>940</v>
      </c>
      <c r="F159" s="17">
        <v>1022</v>
      </c>
      <c r="G159" s="17">
        <v>62.901000000000003</v>
      </c>
      <c r="H159" s="17">
        <v>1049.722</v>
      </c>
      <c r="I159" s="17">
        <v>111.673</v>
      </c>
      <c r="J159" s="17">
        <v>102.71299999999999</v>
      </c>
    </row>
    <row r="160" spans="1:11" s="65" customFormat="1" ht="35.25" customHeight="1" x14ac:dyDescent="0.2">
      <c r="A160" s="88" t="s">
        <v>169</v>
      </c>
      <c r="B160" s="60" t="s">
        <v>170</v>
      </c>
      <c r="C160" s="60"/>
      <c r="D160" s="60"/>
      <c r="E160" s="61">
        <v>1532</v>
      </c>
      <c r="F160" s="62">
        <v>718.5</v>
      </c>
      <c r="G160" s="108">
        <v>34.484000000000002</v>
      </c>
      <c r="H160" s="104">
        <v>761.76900000000001</v>
      </c>
      <c r="I160" s="104">
        <v>49.723999999999997</v>
      </c>
      <c r="J160" s="63">
        <v>106.02200000000001</v>
      </c>
      <c r="K160" s="64"/>
    </row>
    <row r="161" spans="1:11" ht="22.5" x14ac:dyDescent="0.2">
      <c r="A161" s="11" t="s">
        <v>171</v>
      </c>
      <c r="B161" s="12" t="s">
        <v>172</v>
      </c>
      <c r="C161" s="12"/>
      <c r="D161" s="12"/>
      <c r="E161" s="13">
        <v>1532</v>
      </c>
      <c r="F161" s="13">
        <v>718.5</v>
      </c>
      <c r="G161" s="13">
        <v>34.484000000000002</v>
      </c>
      <c r="H161" s="13">
        <v>761.76900000000001</v>
      </c>
      <c r="I161" s="13">
        <v>49.723999999999997</v>
      </c>
      <c r="J161" s="13">
        <v>106.02200000000001</v>
      </c>
    </row>
    <row r="162" spans="1:11" s="195" customFormat="1" ht="22.5" x14ac:dyDescent="0.2">
      <c r="A162" s="196" t="s">
        <v>552</v>
      </c>
      <c r="B162" s="193" t="s">
        <v>174</v>
      </c>
      <c r="C162" s="193"/>
      <c r="D162" s="193"/>
      <c r="E162" s="194">
        <v>483</v>
      </c>
      <c r="F162" s="194">
        <v>173.7</v>
      </c>
      <c r="G162" s="194">
        <v>16.5</v>
      </c>
      <c r="H162" s="194">
        <v>187.714</v>
      </c>
      <c r="I162" s="194">
        <v>38.863999999999997</v>
      </c>
      <c r="J162" s="194">
        <v>108.068</v>
      </c>
    </row>
    <row r="163" spans="1:11" ht="22.5" x14ac:dyDescent="0.2">
      <c r="A163" s="15" t="s">
        <v>552</v>
      </c>
      <c r="B163" s="16" t="s">
        <v>175</v>
      </c>
      <c r="C163" s="16" t="s">
        <v>23</v>
      </c>
      <c r="D163" s="16" t="s">
        <v>24</v>
      </c>
      <c r="E163" s="17">
        <v>483</v>
      </c>
      <c r="F163" s="17">
        <v>173.7</v>
      </c>
      <c r="G163" s="17"/>
      <c r="H163" s="17"/>
      <c r="I163" s="17"/>
      <c r="J163" s="17"/>
    </row>
    <row r="164" spans="1:11" ht="56.25" x14ac:dyDescent="0.2">
      <c r="A164" s="11" t="s">
        <v>176</v>
      </c>
      <c r="B164" s="12" t="s">
        <v>177</v>
      </c>
      <c r="C164" s="12"/>
      <c r="D164" s="12"/>
      <c r="E164" s="13"/>
      <c r="F164" s="13"/>
      <c r="G164" s="13">
        <v>16.5</v>
      </c>
      <c r="H164" s="13">
        <v>187.714</v>
      </c>
      <c r="I164" s="13"/>
      <c r="J164" s="13"/>
    </row>
    <row r="165" spans="1:11" ht="56.25" x14ac:dyDescent="0.2">
      <c r="A165" s="15" t="s">
        <v>176</v>
      </c>
      <c r="B165" s="16" t="s">
        <v>178</v>
      </c>
      <c r="C165" s="16" t="s">
        <v>23</v>
      </c>
      <c r="D165" s="16" t="s">
        <v>24</v>
      </c>
      <c r="E165" s="17"/>
      <c r="F165" s="17"/>
      <c r="G165" s="17">
        <v>16.5</v>
      </c>
      <c r="H165" s="17">
        <v>187.714</v>
      </c>
      <c r="I165" s="17"/>
      <c r="J165" s="17"/>
    </row>
    <row r="166" spans="1:11" s="195" customFormat="1" ht="22.5" x14ac:dyDescent="0.2">
      <c r="A166" s="196" t="s">
        <v>181</v>
      </c>
      <c r="B166" s="193" t="s">
        <v>182</v>
      </c>
      <c r="C166" s="193"/>
      <c r="D166" s="193"/>
      <c r="E166" s="194">
        <v>152</v>
      </c>
      <c r="F166" s="194">
        <v>23.7</v>
      </c>
      <c r="G166" s="194"/>
      <c r="H166" s="194">
        <v>24.155999999999999</v>
      </c>
      <c r="I166" s="194">
        <v>15.891999999999999</v>
      </c>
      <c r="J166" s="194">
        <v>101.923</v>
      </c>
    </row>
    <row r="167" spans="1:11" ht="22.5" x14ac:dyDescent="0.2">
      <c r="A167" s="15" t="s">
        <v>181</v>
      </c>
      <c r="B167" s="16" t="s">
        <v>183</v>
      </c>
      <c r="C167" s="16" t="s">
        <v>23</v>
      </c>
      <c r="D167" s="16" t="s">
        <v>24</v>
      </c>
      <c r="E167" s="17">
        <v>152</v>
      </c>
      <c r="F167" s="17">
        <v>23.7</v>
      </c>
      <c r="G167" s="17"/>
      <c r="H167" s="17"/>
      <c r="I167" s="17"/>
      <c r="J167" s="17"/>
    </row>
    <row r="168" spans="1:11" ht="45" x14ac:dyDescent="0.2">
      <c r="A168" s="11" t="s">
        <v>184</v>
      </c>
      <c r="B168" s="12" t="s">
        <v>185</v>
      </c>
      <c r="C168" s="12"/>
      <c r="D168" s="12"/>
      <c r="E168" s="13"/>
      <c r="F168" s="13"/>
      <c r="G168" s="13"/>
      <c r="H168" s="13">
        <v>24.155999999999999</v>
      </c>
      <c r="I168" s="13"/>
      <c r="J168" s="13"/>
    </row>
    <row r="169" spans="1:11" ht="45" x14ac:dyDescent="0.2">
      <c r="A169" s="15" t="s">
        <v>184</v>
      </c>
      <c r="B169" s="16" t="s">
        <v>186</v>
      </c>
      <c r="C169" s="16" t="s">
        <v>23</v>
      </c>
      <c r="D169" s="16" t="s">
        <v>24</v>
      </c>
      <c r="E169" s="17"/>
      <c r="F169" s="17"/>
      <c r="G169" s="17"/>
      <c r="H169" s="17">
        <v>24.155999999999999</v>
      </c>
      <c r="I169" s="17"/>
      <c r="J169" s="17"/>
    </row>
    <row r="170" spans="1:11" s="195" customFormat="1" ht="22.5" x14ac:dyDescent="0.2">
      <c r="A170" s="196" t="s">
        <v>187</v>
      </c>
      <c r="B170" s="193" t="s">
        <v>188</v>
      </c>
      <c r="C170" s="193"/>
      <c r="D170" s="193"/>
      <c r="E170" s="194">
        <v>897</v>
      </c>
      <c r="F170" s="194">
        <v>521.1</v>
      </c>
      <c r="G170" s="194">
        <v>17.984000000000002</v>
      </c>
      <c r="H170" s="194">
        <v>549.899</v>
      </c>
      <c r="I170" s="194">
        <v>61.304000000000002</v>
      </c>
      <c r="J170" s="194">
        <v>105.527</v>
      </c>
    </row>
    <row r="171" spans="1:11" ht="22.5" x14ac:dyDescent="0.2">
      <c r="A171" s="15" t="s">
        <v>187</v>
      </c>
      <c r="B171" s="16" t="s">
        <v>189</v>
      </c>
      <c r="C171" s="16" t="s">
        <v>23</v>
      </c>
      <c r="D171" s="16" t="s">
        <v>24</v>
      </c>
      <c r="E171" s="17">
        <v>897</v>
      </c>
      <c r="F171" s="17"/>
      <c r="G171" s="17"/>
      <c r="H171" s="17"/>
      <c r="I171" s="17"/>
      <c r="J171" s="17"/>
    </row>
    <row r="172" spans="1:11" s="195" customFormat="1" x14ac:dyDescent="0.2">
      <c r="A172" s="196" t="s">
        <v>717</v>
      </c>
      <c r="B172" s="193" t="s">
        <v>718</v>
      </c>
      <c r="C172" s="193"/>
      <c r="D172" s="193"/>
      <c r="E172" s="194"/>
      <c r="F172" s="194">
        <v>521.1</v>
      </c>
      <c r="G172" s="194">
        <v>17.984000000000002</v>
      </c>
      <c r="H172" s="194">
        <v>471.072</v>
      </c>
      <c r="I172" s="194"/>
      <c r="J172" s="194">
        <v>90.4</v>
      </c>
    </row>
    <row r="173" spans="1:11" ht="22.5" x14ac:dyDescent="0.2">
      <c r="A173" s="11" t="s">
        <v>850</v>
      </c>
      <c r="B173" s="12" t="s">
        <v>851</v>
      </c>
      <c r="C173" s="12"/>
      <c r="D173" s="12"/>
      <c r="E173" s="13"/>
      <c r="F173" s="13"/>
      <c r="G173" s="13">
        <v>2.3E-2</v>
      </c>
      <c r="H173" s="13">
        <v>2.3E-2</v>
      </c>
      <c r="I173" s="13"/>
      <c r="J173" s="13"/>
    </row>
    <row r="174" spans="1:11" ht="22.5" x14ac:dyDescent="0.2">
      <c r="A174" s="15" t="s">
        <v>850</v>
      </c>
      <c r="B174" s="16" t="s">
        <v>852</v>
      </c>
      <c r="C174" s="16" t="s">
        <v>23</v>
      </c>
      <c r="D174" s="16" t="s">
        <v>24</v>
      </c>
      <c r="E174" s="17"/>
      <c r="F174" s="17"/>
      <c r="G174" s="17">
        <v>2.3E-2</v>
      </c>
      <c r="H174" s="17">
        <v>2.3E-2</v>
      </c>
      <c r="I174" s="17"/>
      <c r="J174" s="17"/>
      <c r="K174" s="67"/>
    </row>
    <row r="175" spans="1:11" ht="45" x14ac:dyDescent="0.2">
      <c r="A175" s="11" t="s">
        <v>719</v>
      </c>
      <c r="B175" s="12" t="s">
        <v>720</v>
      </c>
      <c r="C175" s="12"/>
      <c r="D175" s="12"/>
      <c r="E175" s="13"/>
      <c r="F175" s="13">
        <v>521.1</v>
      </c>
      <c r="G175" s="13">
        <v>17.962</v>
      </c>
      <c r="H175" s="13">
        <v>471.04899999999998</v>
      </c>
      <c r="I175" s="13"/>
      <c r="J175" s="13">
        <v>90.394999999999996</v>
      </c>
    </row>
    <row r="176" spans="1:11" ht="45" x14ac:dyDescent="0.2">
      <c r="A176" s="15" t="s">
        <v>719</v>
      </c>
      <c r="B176" s="16" t="s">
        <v>721</v>
      </c>
      <c r="C176" s="16" t="s">
        <v>23</v>
      </c>
      <c r="D176" s="16" t="s">
        <v>24</v>
      </c>
      <c r="E176" s="17"/>
      <c r="F176" s="17">
        <v>521.1</v>
      </c>
      <c r="G176" s="17">
        <v>17.962</v>
      </c>
      <c r="H176" s="17">
        <v>471.04899999999998</v>
      </c>
      <c r="I176" s="17"/>
      <c r="J176" s="17">
        <v>90.394999999999996</v>
      </c>
    </row>
    <row r="177" spans="1:13" s="195" customFormat="1" ht="22.5" x14ac:dyDescent="0.2">
      <c r="A177" s="196" t="s">
        <v>722</v>
      </c>
      <c r="B177" s="193" t="s">
        <v>723</v>
      </c>
      <c r="C177" s="193"/>
      <c r="D177" s="193"/>
      <c r="E177" s="194"/>
      <c r="F177" s="194"/>
      <c r="G177" s="194"/>
      <c r="H177" s="194">
        <v>78.826999999999998</v>
      </c>
      <c r="I177" s="194"/>
      <c r="J177" s="194"/>
    </row>
    <row r="178" spans="1:13" ht="45" x14ac:dyDescent="0.2">
      <c r="A178" s="11" t="s">
        <v>724</v>
      </c>
      <c r="B178" s="12" t="s">
        <v>725</v>
      </c>
      <c r="C178" s="12"/>
      <c r="D178" s="12"/>
      <c r="E178" s="13"/>
      <c r="F178" s="13"/>
      <c r="G178" s="13"/>
      <c r="H178" s="13">
        <v>78.826999999999998</v>
      </c>
      <c r="I178" s="13"/>
      <c r="J178" s="13"/>
    </row>
    <row r="179" spans="1:13" ht="45" x14ac:dyDescent="0.2">
      <c r="A179" s="15" t="s">
        <v>724</v>
      </c>
      <c r="B179" s="16" t="s">
        <v>726</v>
      </c>
      <c r="C179" s="16" t="s">
        <v>23</v>
      </c>
      <c r="D179" s="16" t="s">
        <v>24</v>
      </c>
      <c r="E179" s="17"/>
      <c r="F179" s="17"/>
      <c r="G179" s="17"/>
      <c r="H179" s="17">
        <v>78.826999999999998</v>
      </c>
      <c r="I179" s="17"/>
      <c r="J179" s="17"/>
    </row>
    <row r="180" spans="1:13" s="65" customFormat="1" ht="35.25" customHeight="1" x14ac:dyDescent="0.2">
      <c r="A180" s="88" t="s">
        <v>190</v>
      </c>
      <c r="B180" s="60" t="s">
        <v>191</v>
      </c>
      <c r="C180" s="60"/>
      <c r="D180" s="60"/>
      <c r="E180" s="61">
        <v>55573.9</v>
      </c>
      <c r="F180" s="62">
        <v>54464.788</v>
      </c>
      <c r="G180" s="108">
        <v>5431.8050000000003</v>
      </c>
      <c r="H180" s="104">
        <v>53130.546000000002</v>
      </c>
      <c r="I180" s="104">
        <v>95.602999999999994</v>
      </c>
      <c r="J180" s="63">
        <v>97.55</v>
      </c>
      <c r="K180" s="64"/>
    </row>
    <row r="181" spans="1:13" x14ac:dyDescent="0.2">
      <c r="A181" s="11" t="s">
        <v>192</v>
      </c>
      <c r="B181" s="12" t="s">
        <v>193</v>
      </c>
      <c r="C181" s="12"/>
      <c r="D181" s="12"/>
      <c r="E181" s="13">
        <v>55573.9</v>
      </c>
      <c r="F181" s="13">
        <v>52355.08</v>
      </c>
      <c r="G181" s="13">
        <v>5462.0649999999996</v>
      </c>
      <c r="H181" s="13">
        <v>50865.491999999998</v>
      </c>
      <c r="I181" s="13">
        <v>91.528000000000006</v>
      </c>
      <c r="J181" s="13">
        <v>97.155000000000001</v>
      </c>
    </row>
    <row r="182" spans="1:13" x14ac:dyDescent="0.2">
      <c r="A182" s="11" t="s">
        <v>194</v>
      </c>
      <c r="B182" s="12" t="s">
        <v>195</v>
      </c>
      <c r="C182" s="12"/>
      <c r="D182" s="12"/>
      <c r="E182" s="13">
        <v>55573.9</v>
      </c>
      <c r="F182" s="13">
        <v>52355.08</v>
      </c>
      <c r="G182" s="13">
        <v>5462.0649999999996</v>
      </c>
      <c r="H182" s="13">
        <v>50865.491999999998</v>
      </c>
      <c r="I182" s="13">
        <v>91.528000000000006</v>
      </c>
      <c r="J182" s="13">
        <v>97.155000000000001</v>
      </c>
    </row>
    <row r="183" spans="1:13" ht="33.75" x14ac:dyDescent="0.2">
      <c r="A183" s="11" t="s">
        <v>196</v>
      </c>
      <c r="B183" s="12" t="s">
        <v>197</v>
      </c>
      <c r="C183" s="12"/>
      <c r="D183" s="12"/>
      <c r="E183" s="13">
        <v>55573.9</v>
      </c>
      <c r="F183" s="13">
        <v>52355.08</v>
      </c>
      <c r="G183" s="13">
        <v>5462.0649999999996</v>
      </c>
      <c r="H183" s="13">
        <v>50865.491999999998</v>
      </c>
      <c r="I183" s="13">
        <v>91.528000000000006</v>
      </c>
      <c r="J183" s="13">
        <v>97.155000000000001</v>
      </c>
    </row>
    <row r="184" spans="1:13" s="102" customFormat="1" ht="33.75" x14ac:dyDescent="0.2">
      <c r="A184" s="114" t="s">
        <v>196</v>
      </c>
      <c r="B184" s="19" t="s">
        <v>198</v>
      </c>
      <c r="C184" s="19" t="s">
        <v>23</v>
      </c>
      <c r="D184" s="19" t="s">
        <v>24</v>
      </c>
      <c r="E184" s="89">
        <v>55</v>
      </c>
      <c r="F184" s="89">
        <v>86</v>
      </c>
      <c r="G184" s="89">
        <v>13.879</v>
      </c>
      <c r="H184" s="89">
        <v>86</v>
      </c>
      <c r="I184" s="89">
        <v>156.364</v>
      </c>
      <c r="J184" s="89">
        <v>100</v>
      </c>
    </row>
    <row r="185" spans="1:13" ht="45" x14ac:dyDescent="0.2">
      <c r="A185" s="11" t="s">
        <v>199</v>
      </c>
      <c r="B185" s="12" t="s">
        <v>200</v>
      </c>
      <c r="C185" s="12"/>
      <c r="D185" s="12"/>
      <c r="E185" s="13">
        <v>54811.4</v>
      </c>
      <c r="F185" s="13">
        <v>51464.2</v>
      </c>
      <c r="G185" s="13">
        <v>5448.1859999999997</v>
      </c>
      <c r="H185" s="13">
        <v>49974.612000000001</v>
      </c>
      <c r="I185" s="13">
        <v>91.176000000000002</v>
      </c>
      <c r="J185" s="13">
        <v>97.105999999999995</v>
      </c>
    </row>
    <row r="186" spans="1:13" s="102" customFormat="1" ht="45" x14ac:dyDescent="0.2">
      <c r="A186" s="114" t="s">
        <v>199</v>
      </c>
      <c r="B186" s="19" t="s">
        <v>201</v>
      </c>
      <c r="C186" s="19" t="s">
        <v>23</v>
      </c>
      <c r="D186" s="19" t="s">
        <v>24</v>
      </c>
      <c r="E186" s="89">
        <v>54811.4</v>
      </c>
      <c r="F186" s="89">
        <v>51464.2</v>
      </c>
      <c r="G186" s="89">
        <v>5448.1859999999997</v>
      </c>
      <c r="H186" s="89">
        <v>49974.612000000001</v>
      </c>
      <c r="I186" s="89">
        <v>91.176000000000002</v>
      </c>
      <c r="J186" s="89">
        <v>97.105999999999995</v>
      </c>
      <c r="K186" s="156">
        <f>H186+H190</f>
        <v>50747.847999999998</v>
      </c>
      <c r="L186" s="156">
        <f>F186+F190</f>
        <v>52237.435999999994</v>
      </c>
      <c r="M186" s="156">
        <f>H186+H188</f>
        <v>50006.256000000001</v>
      </c>
    </row>
    <row r="187" spans="1:13" ht="56.25" x14ac:dyDescent="0.2">
      <c r="A187" s="11" t="s">
        <v>553</v>
      </c>
      <c r="B187" s="12" t="s">
        <v>554</v>
      </c>
      <c r="C187" s="12"/>
      <c r="D187" s="12"/>
      <c r="E187" s="13"/>
      <c r="F187" s="13">
        <v>31.643999999999998</v>
      </c>
      <c r="G187" s="13"/>
      <c r="H187" s="13">
        <v>31.643999999999998</v>
      </c>
      <c r="I187" s="13"/>
      <c r="J187" s="13">
        <v>99.998999999999995</v>
      </c>
    </row>
    <row r="188" spans="1:13" s="102" customFormat="1" ht="56.25" x14ac:dyDescent="0.2">
      <c r="A188" s="114" t="s">
        <v>553</v>
      </c>
      <c r="B188" s="19" t="s">
        <v>555</v>
      </c>
      <c r="C188" s="19" t="s">
        <v>23</v>
      </c>
      <c r="D188" s="19" t="s">
        <v>24</v>
      </c>
      <c r="E188" s="89"/>
      <c r="F188" s="89">
        <v>31.643999999999998</v>
      </c>
      <c r="G188" s="89"/>
      <c r="H188" s="89">
        <v>31.643999999999998</v>
      </c>
      <c r="I188" s="89"/>
      <c r="J188" s="89">
        <v>99.998999999999995</v>
      </c>
    </row>
    <row r="189" spans="1:13" ht="67.5" x14ac:dyDescent="0.2">
      <c r="A189" s="11" t="s">
        <v>202</v>
      </c>
      <c r="B189" s="12" t="s">
        <v>203</v>
      </c>
      <c r="C189" s="12"/>
      <c r="D189" s="12"/>
      <c r="E189" s="13">
        <v>707.5</v>
      </c>
      <c r="F189" s="13">
        <v>773.23599999999999</v>
      </c>
      <c r="G189" s="13"/>
      <c r="H189" s="13">
        <v>773.23599999999999</v>
      </c>
      <c r="I189" s="13">
        <v>109.291</v>
      </c>
      <c r="J189" s="13">
        <v>100</v>
      </c>
    </row>
    <row r="190" spans="1:13" s="102" customFormat="1" ht="56.25" x14ac:dyDescent="0.2">
      <c r="A190" s="114" t="s">
        <v>202</v>
      </c>
      <c r="B190" s="19" t="s">
        <v>204</v>
      </c>
      <c r="C190" s="19" t="s">
        <v>23</v>
      </c>
      <c r="D190" s="19" t="s">
        <v>24</v>
      </c>
      <c r="E190" s="89">
        <v>707.5</v>
      </c>
      <c r="F190" s="89">
        <v>773.23599999999999</v>
      </c>
      <c r="G190" s="89"/>
      <c r="H190" s="89">
        <v>773.23599999999999</v>
      </c>
      <c r="I190" s="89">
        <v>109.291</v>
      </c>
      <c r="J190" s="89">
        <v>100</v>
      </c>
    </row>
    <row r="191" spans="1:13" x14ac:dyDescent="0.2">
      <c r="A191" s="11" t="s">
        <v>205</v>
      </c>
      <c r="B191" s="12" t="s">
        <v>206</v>
      </c>
      <c r="C191" s="12"/>
      <c r="D191" s="12"/>
      <c r="E191" s="13"/>
      <c r="F191" s="13">
        <v>2109.7080000000001</v>
      </c>
      <c r="G191" s="13">
        <v>-30.26</v>
      </c>
      <c r="H191" s="13">
        <v>2265.0540000000001</v>
      </c>
      <c r="I191" s="13"/>
      <c r="J191" s="13">
        <v>107.363</v>
      </c>
    </row>
    <row r="192" spans="1:13" x14ac:dyDescent="0.2">
      <c r="A192" s="11" t="s">
        <v>207</v>
      </c>
      <c r="B192" s="12" t="s">
        <v>208</v>
      </c>
      <c r="C192" s="12"/>
      <c r="D192" s="12"/>
      <c r="E192" s="13"/>
      <c r="F192" s="13">
        <v>2109.7080000000001</v>
      </c>
      <c r="G192" s="13">
        <v>-30.26</v>
      </c>
      <c r="H192" s="13">
        <v>2265.0540000000001</v>
      </c>
      <c r="I192" s="13"/>
      <c r="J192" s="13">
        <v>107.363</v>
      </c>
    </row>
    <row r="193" spans="1:13" ht="22.5" x14ac:dyDescent="0.2">
      <c r="A193" s="11" t="s">
        <v>209</v>
      </c>
      <c r="B193" s="12" t="s">
        <v>210</v>
      </c>
      <c r="C193" s="12"/>
      <c r="D193" s="12"/>
      <c r="E193" s="13"/>
      <c r="F193" s="13">
        <v>2109.7080000000001</v>
      </c>
      <c r="G193" s="13">
        <v>-30.26</v>
      </c>
      <c r="H193" s="13">
        <v>2265.0540000000001</v>
      </c>
      <c r="I193" s="13"/>
      <c r="J193" s="13">
        <v>107.363</v>
      </c>
    </row>
    <row r="194" spans="1:13" s="102" customFormat="1" ht="22.5" x14ac:dyDescent="0.2">
      <c r="A194" s="114" t="s">
        <v>209</v>
      </c>
      <c r="B194" s="19" t="s">
        <v>727</v>
      </c>
      <c r="C194" s="19" t="s">
        <v>23</v>
      </c>
      <c r="D194" s="19" t="s">
        <v>24</v>
      </c>
      <c r="E194" s="89"/>
      <c r="F194" s="89">
        <v>0.86299999999999999</v>
      </c>
      <c r="G194" s="89"/>
      <c r="H194" s="89">
        <v>0.86299999999999999</v>
      </c>
      <c r="I194" s="89"/>
      <c r="J194" s="89">
        <v>100.012</v>
      </c>
    </row>
    <row r="195" spans="1:13" ht="33.75" x14ac:dyDescent="0.2">
      <c r="A195" s="11" t="s">
        <v>211</v>
      </c>
      <c r="B195" s="12" t="s">
        <v>212</v>
      </c>
      <c r="C195" s="12"/>
      <c r="D195" s="12"/>
      <c r="E195" s="13"/>
      <c r="F195" s="13">
        <v>2108.8449999999998</v>
      </c>
      <c r="G195" s="13">
        <v>-30.26</v>
      </c>
      <c r="H195" s="13">
        <v>2264.1909999999998</v>
      </c>
      <c r="I195" s="13"/>
      <c r="J195" s="13">
        <v>107.366</v>
      </c>
    </row>
    <row r="196" spans="1:13" s="102" customFormat="1" ht="33.75" x14ac:dyDescent="0.2">
      <c r="A196" s="114" t="s">
        <v>211</v>
      </c>
      <c r="B196" s="19" t="s">
        <v>556</v>
      </c>
      <c r="C196" s="19" t="s">
        <v>23</v>
      </c>
      <c r="D196" s="19" t="s">
        <v>24</v>
      </c>
      <c r="E196" s="89"/>
      <c r="F196" s="89">
        <v>91.906000000000006</v>
      </c>
      <c r="G196" s="89">
        <v>-42.402999999999999</v>
      </c>
      <c r="H196" s="89">
        <v>112.749</v>
      </c>
      <c r="I196" s="89"/>
      <c r="J196" s="89">
        <v>122.679</v>
      </c>
    </row>
    <row r="197" spans="1:13" s="102" customFormat="1" ht="33.75" x14ac:dyDescent="0.2">
      <c r="A197" s="114" t="s">
        <v>211</v>
      </c>
      <c r="B197" s="19" t="s">
        <v>213</v>
      </c>
      <c r="C197" s="19" t="s">
        <v>23</v>
      </c>
      <c r="D197" s="19" t="s">
        <v>24</v>
      </c>
      <c r="E197" s="89"/>
      <c r="F197" s="89">
        <v>1645.6020000000001</v>
      </c>
      <c r="G197" s="89"/>
      <c r="H197" s="89">
        <v>1753.796</v>
      </c>
      <c r="I197" s="89"/>
      <c r="J197" s="89">
        <v>106.575</v>
      </c>
    </row>
    <row r="198" spans="1:13" s="102" customFormat="1" ht="33.75" x14ac:dyDescent="0.2">
      <c r="A198" s="114" t="s">
        <v>211</v>
      </c>
      <c r="B198" s="19" t="s">
        <v>728</v>
      </c>
      <c r="C198" s="19" t="s">
        <v>23</v>
      </c>
      <c r="D198" s="19" t="s">
        <v>24</v>
      </c>
      <c r="E198" s="89"/>
      <c r="F198" s="89">
        <v>284.00900000000001</v>
      </c>
      <c r="G198" s="89"/>
      <c r="H198" s="89">
        <v>284.00900000000001</v>
      </c>
      <c r="I198" s="89"/>
      <c r="J198" s="89">
        <v>100</v>
      </c>
    </row>
    <row r="199" spans="1:13" s="102" customFormat="1" ht="33.75" x14ac:dyDescent="0.2">
      <c r="A199" s="114" t="s">
        <v>211</v>
      </c>
      <c r="B199" s="19" t="s">
        <v>853</v>
      </c>
      <c r="C199" s="19" t="s">
        <v>23</v>
      </c>
      <c r="D199" s="19" t="s">
        <v>24</v>
      </c>
      <c r="E199" s="89"/>
      <c r="F199" s="89"/>
      <c r="G199" s="89"/>
      <c r="H199" s="89">
        <v>14.167</v>
      </c>
      <c r="I199" s="89"/>
      <c r="J199" s="89"/>
    </row>
    <row r="200" spans="1:13" s="102" customFormat="1" ht="33.75" x14ac:dyDescent="0.2">
      <c r="A200" s="114" t="s">
        <v>211</v>
      </c>
      <c r="B200" s="19" t="s">
        <v>729</v>
      </c>
      <c r="C200" s="19" t="s">
        <v>23</v>
      </c>
      <c r="D200" s="19" t="s">
        <v>24</v>
      </c>
      <c r="E200" s="89"/>
      <c r="F200" s="89">
        <v>37.499000000000002</v>
      </c>
      <c r="G200" s="89"/>
      <c r="H200" s="89">
        <v>37.499000000000002</v>
      </c>
      <c r="I200" s="89"/>
      <c r="J200" s="89">
        <v>100</v>
      </c>
    </row>
    <row r="201" spans="1:13" s="102" customFormat="1" ht="33.75" x14ac:dyDescent="0.2">
      <c r="A201" s="114" t="s">
        <v>211</v>
      </c>
      <c r="B201" s="19" t="s">
        <v>730</v>
      </c>
      <c r="C201" s="19" t="s">
        <v>23</v>
      </c>
      <c r="D201" s="19" t="s">
        <v>24</v>
      </c>
      <c r="E201" s="89"/>
      <c r="F201" s="89">
        <v>49.829000000000001</v>
      </c>
      <c r="G201" s="89"/>
      <c r="H201" s="89">
        <v>49.829000000000001</v>
      </c>
      <c r="I201" s="89"/>
      <c r="J201" s="89">
        <v>99.998999999999995</v>
      </c>
    </row>
    <row r="202" spans="1:13" s="102" customFormat="1" ht="33.75" x14ac:dyDescent="0.2">
      <c r="A202" s="114" t="s">
        <v>211</v>
      </c>
      <c r="B202" s="19" t="s">
        <v>854</v>
      </c>
      <c r="C202" s="19" t="s">
        <v>23</v>
      </c>
      <c r="D202" s="19" t="s">
        <v>24</v>
      </c>
      <c r="E202" s="89"/>
      <c r="F202" s="89"/>
      <c r="G202" s="89">
        <v>12.143000000000001</v>
      </c>
      <c r="H202" s="89">
        <v>12.143000000000001</v>
      </c>
      <c r="I202" s="89"/>
      <c r="J202" s="89"/>
    </row>
    <row r="203" spans="1:13" s="87" customFormat="1" ht="24" x14ac:dyDescent="0.2">
      <c r="A203" s="90" t="s">
        <v>214</v>
      </c>
      <c r="B203" s="82" t="s">
        <v>215</v>
      </c>
      <c r="C203" s="82"/>
      <c r="D203" s="82"/>
      <c r="E203" s="83">
        <v>763.5</v>
      </c>
      <c r="F203" s="84">
        <v>1865.115</v>
      </c>
      <c r="G203" s="113">
        <v>244.75</v>
      </c>
      <c r="H203" s="104">
        <v>2071.1680000000001</v>
      </c>
      <c r="I203" s="104">
        <v>271.27300000000002</v>
      </c>
      <c r="J203" s="85">
        <v>111.048</v>
      </c>
      <c r="K203" s="64"/>
    </row>
    <row r="204" spans="1:13" s="65" customFormat="1" ht="84" x14ac:dyDescent="0.2">
      <c r="A204" s="88" t="s">
        <v>557</v>
      </c>
      <c r="B204" s="60" t="s">
        <v>558</v>
      </c>
      <c r="C204" s="60"/>
      <c r="D204" s="60"/>
      <c r="E204" s="61">
        <v>40</v>
      </c>
      <c r="F204" s="62">
        <v>129.5</v>
      </c>
      <c r="G204" s="108"/>
      <c r="H204" s="104">
        <v>129.5</v>
      </c>
      <c r="I204" s="104">
        <v>323.75</v>
      </c>
      <c r="J204" s="63">
        <v>100</v>
      </c>
      <c r="K204" s="64"/>
    </row>
    <row r="205" spans="1:13" ht="90" x14ac:dyDescent="0.2">
      <c r="A205" s="14" t="s">
        <v>469</v>
      </c>
      <c r="B205" s="12" t="s">
        <v>559</v>
      </c>
      <c r="C205" s="12"/>
      <c r="D205" s="12"/>
      <c r="E205" s="13">
        <v>40</v>
      </c>
      <c r="F205" s="13">
        <v>129.5</v>
      </c>
      <c r="G205" s="13"/>
      <c r="H205" s="13">
        <v>129.5</v>
      </c>
      <c r="I205" s="13">
        <v>323.75</v>
      </c>
      <c r="J205" s="13">
        <v>100</v>
      </c>
    </row>
    <row r="206" spans="1:13" ht="90" x14ac:dyDescent="0.2">
      <c r="A206" s="14" t="s">
        <v>470</v>
      </c>
      <c r="B206" s="12" t="s">
        <v>471</v>
      </c>
      <c r="C206" s="12"/>
      <c r="D206" s="12"/>
      <c r="E206" s="13">
        <v>40</v>
      </c>
      <c r="F206" s="13">
        <v>129.5</v>
      </c>
      <c r="G206" s="13"/>
      <c r="H206" s="13">
        <v>129.5</v>
      </c>
      <c r="I206" s="13">
        <v>323.75</v>
      </c>
      <c r="J206" s="13">
        <v>100</v>
      </c>
    </row>
    <row r="207" spans="1:13" ht="78.75" x14ac:dyDescent="0.2">
      <c r="A207" s="18" t="s">
        <v>470</v>
      </c>
      <c r="B207" s="16" t="s">
        <v>472</v>
      </c>
      <c r="C207" s="16" t="s">
        <v>23</v>
      </c>
      <c r="D207" s="16" t="s">
        <v>24</v>
      </c>
      <c r="E207" s="17">
        <v>40</v>
      </c>
      <c r="F207" s="17">
        <v>129.5</v>
      </c>
      <c r="G207" s="17"/>
      <c r="H207" s="17">
        <v>129.5</v>
      </c>
      <c r="I207" s="17">
        <v>323.75</v>
      </c>
      <c r="J207" s="17">
        <v>100</v>
      </c>
    </row>
    <row r="208" spans="1:13" s="65" customFormat="1" ht="36" x14ac:dyDescent="0.2">
      <c r="A208" s="59" t="s">
        <v>216</v>
      </c>
      <c r="B208" s="60" t="s">
        <v>217</v>
      </c>
      <c r="C208" s="60"/>
      <c r="D208" s="60"/>
      <c r="E208" s="61">
        <v>723.5</v>
      </c>
      <c r="F208" s="62">
        <v>1722.9</v>
      </c>
      <c r="G208" s="108">
        <v>238.042</v>
      </c>
      <c r="H208" s="104">
        <v>1922.2449999999999</v>
      </c>
      <c r="I208" s="104">
        <v>265.68700000000001</v>
      </c>
      <c r="J208" s="63">
        <v>111.57</v>
      </c>
      <c r="K208" s="64">
        <f>F208+F215</f>
        <v>1735.615</v>
      </c>
      <c r="L208" s="64">
        <f t="shared" ref="L208:M208" si="1">G208+G215</f>
        <v>244.751</v>
      </c>
      <c r="M208" s="64">
        <f t="shared" si="1"/>
        <v>1941.6679999999999</v>
      </c>
    </row>
    <row r="209" spans="1:11" ht="33.75" x14ac:dyDescent="0.2">
      <c r="A209" s="11" t="s">
        <v>218</v>
      </c>
      <c r="B209" s="12" t="s">
        <v>219</v>
      </c>
      <c r="C209" s="12"/>
      <c r="D209" s="12"/>
      <c r="E209" s="13">
        <v>723.5</v>
      </c>
      <c r="F209" s="13">
        <v>1722.9</v>
      </c>
      <c r="G209" s="13">
        <v>238.042</v>
      </c>
      <c r="H209" s="13">
        <v>1922.2449999999999</v>
      </c>
      <c r="I209" s="13">
        <v>265.68700000000001</v>
      </c>
      <c r="J209" s="13">
        <v>111.57</v>
      </c>
    </row>
    <row r="210" spans="1:11" ht="56.25" x14ac:dyDescent="0.2">
      <c r="A210" s="11" t="s">
        <v>731</v>
      </c>
      <c r="B210" s="12" t="s">
        <v>473</v>
      </c>
      <c r="C210" s="12"/>
      <c r="D210" s="12"/>
      <c r="E210" s="13">
        <v>300</v>
      </c>
      <c r="F210" s="13">
        <v>300</v>
      </c>
      <c r="G210" s="13">
        <v>52.043999999999997</v>
      </c>
      <c r="H210" s="13">
        <v>313.40699999999998</v>
      </c>
      <c r="I210" s="13">
        <v>104.46899999999999</v>
      </c>
      <c r="J210" s="13">
        <v>104.46899999999999</v>
      </c>
    </row>
    <row r="211" spans="1:11" ht="56.25" x14ac:dyDescent="0.2">
      <c r="A211" s="15" t="s">
        <v>731</v>
      </c>
      <c r="B211" s="16" t="s">
        <v>474</v>
      </c>
      <c r="C211" s="16" t="s">
        <v>23</v>
      </c>
      <c r="D211" s="16" t="s">
        <v>24</v>
      </c>
      <c r="E211" s="17">
        <v>300</v>
      </c>
      <c r="F211" s="17">
        <v>300</v>
      </c>
      <c r="G211" s="17">
        <v>52.043999999999997</v>
      </c>
      <c r="H211" s="17">
        <v>313.40699999999998</v>
      </c>
      <c r="I211" s="17">
        <v>104.46899999999999</v>
      </c>
      <c r="J211" s="17">
        <v>104.46899999999999</v>
      </c>
    </row>
    <row r="212" spans="1:11" ht="45" x14ac:dyDescent="0.2">
      <c r="A212" s="11" t="s">
        <v>220</v>
      </c>
      <c r="B212" s="12" t="s">
        <v>221</v>
      </c>
      <c r="C212" s="12"/>
      <c r="D212" s="12"/>
      <c r="E212" s="13">
        <v>423.5</v>
      </c>
      <c r="F212" s="13">
        <v>1422.9</v>
      </c>
      <c r="G212" s="13">
        <v>185.99799999999999</v>
      </c>
      <c r="H212" s="13">
        <v>1608.837</v>
      </c>
      <c r="I212" s="13">
        <v>379.89100000000002</v>
      </c>
      <c r="J212" s="13">
        <v>113.068</v>
      </c>
    </row>
    <row r="213" spans="1:11" ht="45" x14ac:dyDescent="0.2">
      <c r="A213" s="15" t="s">
        <v>220</v>
      </c>
      <c r="B213" s="16" t="s">
        <v>222</v>
      </c>
      <c r="C213" s="16" t="s">
        <v>23</v>
      </c>
      <c r="D213" s="16" t="s">
        <v>24</v>
      </c>
      <c r="E213" s="17">
        <v>123.5</v>
      </c>
      <c r="F213" s="17">
        <v>1016.9</v>
      </c>
      <c r="G213" s="17">
        <v>171.56100000000001</v>
      </c>
      <c r="H213" s="17">
        <v>1188.403</v>
      </c>
      <c r="I213" s="17">
        <v>962.27</v>
      </c>
      <c r="J213" s="17">
        <v>116.86499999999999</v>
      </c>
    </row>
    <row r="214" spans="1:11" ht="45" x14ac:dyDescent="0.2">
      <c r="A214" s="15" t="s">
        <v>220</v>
      </c>
      <c r="B214" s="16" t="s">
        <v>223</v>
      </c>
      <c r="C214" s="16" t="s">
        <v>23</v>
      </c>
      <c r="D214" s="16" t="s">
        <v>24</v>
      </c>
      <c r="E214" s="17">
        <v>300</v>
      </c>
      <c r="F214" s="17">
        <v>406</v>
      </c>
      <c r="G214" s="17">
        <v>14.436999999999999</v>
      </c>
      <c r="H214" s="17">
        <v>420.435</v>
      </c>
      <c r="I214" s="17">
        <v>140.14500000000001</v>
      </c>
      <c r="J214" s="17">
        <v>103.55500000000001</v>
      </c>
    </row>
    <row r="215" spans="1:11" s="65" customFormat="1" ht="72" x14ac:dyDescent="0.2">
      <c r="A215" s="59" t="s">
        <v>560</v>
      </c>
      <c r="B215" s="60" t="s">
        <v>561</v>
      </c>
      <c r="C215" s="60"/>
      <c r="D215" s="60"/>
      <c r="E215" s="61"/>
      <c r="F215" s="62">
        <v>12.715</v>
      </c>
      <c r="G215" s="108">
        <v>6.7089999999999996</v>
      </c>
      <c r="H215" s="104">
        <v>19.422999999999998</v>
      </c>
      <c r="I215" s="104"/>
      <c r="J215" s="63">
        <v>152.75700000000001</v>
      </c>
      <c r="K215" s="64"/>
    </row>
    <row r="216" spans="1:11" ht="56.25" x14ac:dyDescent="0.2">
      <c r="A216" s="11" t="s">
        <v>562</v>
      </c>
      <c r="B216" s="12" t="s">
        <v>563</v>
      </c>
      <c r="C216" s="12"/>
      <c r="D216" s="12"/>
      <c r="E216" s="13"/>
      <c r="F216" s="13">
        <v>12.715</v>
      </c>
      <c r="G216" s="13">
        <v>6.7089999999999996</v>
      </c>
      <c r="H216" s="13">
        <v>19.422999999999998</v>
      </c>
      <c r="I216" s="13"/>
      <c r="J216" s="13">
        <v>152.75700000000001</v>
      </c>
    </row>
    <row r="217" spans="1:11" ht="78.75" x14ac:dyDescent="0.2">
      <c r="A217" s="14" t="s">
        <v>564</v>
      </c>
      <c r="B217" s="12" t="s">
        <v>565</v>
      </c>
      <c r="C217" s="12"/>
      <c r="D217" s="12"/>
      <c r="E217" s="13"/>
      <c r="F217" s="13">
        <v>12.715</v>
      </c>
      <c r="G217" s="13">
        <v>6.7089999999999996</v>
      </c>
      <c r="H217" s="13">
        <v>19.422999999999998</v>
      </c>
      <c r="I217" s="13"/>
      <c r="J217" s="13">
        <v>152.75700000000001</v>
      </c>
    </row>
    <row r="218" spans="1:11" ht="67.5" x14ac:dyDescent="0.2">
      <c r="A218" s="18" t="s">
        <v>564</v>
      </c>
      <c r="B218" s="16" t="s">
        <v>566</v>
      </c>
      <c r="C218" s="16" t="s">
        <v>23</v>
      </c>
      <c r="D218" s="16" t="s">
        <v>24</v>
      </c>
      <c r="E218" s="17"/>
      <c r="F218" s="17">
        <v>12.715</v>
      </c>
      <c r="G218" s="17">
        <v>6.7089999999999996</v>
      </c>
      <c r="H218" s="17">
        <v>19.422999999999998</v>
      </c>
      <c r="I218" s="17"/>
      <c r="J218" s="17">
        <v>152.75700000000001</v>
      </c>
    </row>
    <row r="219" spans="1:11" s="65" customFormat="1" ht="33.75" customHeight="1" x14ac:dyDescent="0.2">
      <c r="A219" s="59" t="s">
        <v>224</v>
      </c>
      <c r="B219" s="60" t="s">
        <v>225</v>
      </c>
      <c r="C219" s="60"/>
      <c r="D219" s="60"/>
      <c r="E219" s="61">
        <v>4594.8999999999996</v>
      </c>
      <c r="F219" s="62">
        <v>4594.8999999999996</v>
      </c>
      <c r="G219" s="108">
        <v>356.065</v>
      </c>
      <c r="H219" s="104">
        <v>4609.6840000000002</v>
      </c>
      <c r="I219" s="104">
        <v>100.322</v>
      </c>
      <c r="J219" s="63">
        <v>100.322</v>
      </c>
      <c r="K219" s="64"/>
    </row>
    <row r="220" spans="1:11" ht="22.5" x14ac:dyDescent="0.2">
      <c r="A220" s="11" t="s">
        <v>226</v>
      </c>
      <c r="B220" s="12" t="s">
        <v>227</v>
      </c>
      <c r="C220" s="12"/>
      <c r="D220" s="12"/>
      <c r="E220" s="13">
        <v>318</v>
      </c>
      <c r="F220" s="13">
        <v>267</v>
      </c>
      <c r="G220" s="13">
        <v>30.143999999999998</v>
      </c>
      <c r="H220" s="13">
        <v>262.03699999999998</v>
      </c>
      <c r="I220" s="13">
        <v>82.402000000000001</v>
      </c>
      <c r="J220" s="13">
        <v>98.141000000000005</v>
      </c>
    </row>
    <row r="221" spans="1:11" ht="67.5" x14ac:dyDescent="0.2">
      <c r="A221" s="14" t="s">
        <v>567</v>
      </c>
      <c r="B221" s="12" t="s">
        <v>229</v>
      </c>
      <c r="C221" s="12"/>
      <c r="D221" s="12"/>
      <c r="E221" s="13">
        <v>301</v>
      </c>
      <c r="F221" s="13">
        <v>253</v>
      </c>
      <c r="G221" s="13">
        <v>28.449000000000002</v>
      </c>
      <c r="H221" s="13">
        <v>249.446</v>
      </c>
      <c r="I221" s="13">
        <v>82.872</v>
      </c>
      <c r="J221" s="13">
        <v>98.594999999999999</v>
      </c>
    </row>
    <row r="222" spans="1:11" ht="67.5" x14ac:dyDescent="0.2">
      <c r="A222" s="18" t="s">
        <v>567</v>
      </c>
      <c r="B222" s="16" t="s">
        <v>230</v>
      </c>
      <c r="C222" s="16" t="s">
        <v>23</v>
      </c>
      <c r="D222" s="16" t="s">
        <v>24</v>
      </c>
      <c r="E222" s="17">
        <v>301</v>
      </c>
      <c r="F222" s="17"/>
      <c r="G222" s="17"/>
      <c r="H222" s="17"/>
      <c r="I222" s="17"/>
      <c r="J222" s="17"/>
    </row>
    <row r="223" spans="1:11" ht="67.5" x14ac:dyDescent="0.2">
      <c r="A223" s="14" t="s">
        <v>568</v>
      </c>
      <c r="B223" s="12" t="s">
        <v>231</v>
      </c>
      <c r="C223" s="12"/>
      <c r="D223" s="12"/>
      <c r="E223" s="13"/>
      <c r="F223" s="13">
        <v>253</v>
      </c>
      <c r="G223" s="13">
        <v>28.449000000000002</v>
      </c>
      <c r="H223" s="13">
        <v>249.446</v>
      </c>
      <c r="I223" s="13"/>
      <c r="J223" s="13">
        <v>98.594999999999999</v>
      </c>
    </row>
    <row r="224" spans="1:11" s="195" customFormat="1" ht="67.5" x14ac:dyDescent="0.2">
      <c r="A224" s="215" t="s">
        <v>568</v>
      </c>
      <c r="B224" s="216" t="s">
        <v>232</v>
      </c>
      <c r="C224" s="216" t="s">
        <v>23</v>
      </c>
      <c r="D224" s="216" t="s">
        <v>24</v>
      </c>
      <c r="E224" s="217"/>
      <c r="F224" s="217">
        <v>253</v>
      </c>
      <c r="G224" s="217">
        <v>28.449000000000002</v>
      </c>
      <c r="H224" s="217">
        <v>249.446</v>
      </c>
      <c r="I224" s="217"/>
      <c r="J224" s="217">
        <v>98.594999999999999</v>
      </c>
    </row>
    <row r="225" spans="1:10" ht="56.25" x14ac:dyDescent="0.2">
      <c r="A225" s="11" t="s">
        <v>233</v>
      </c>
      <c r="B225" s="12" t="s">
        <v>234</v>
      </c>
      <c r="C225" s="12"/>
      <c r="D225" s="12"/>
      <c r="E225" s="13">
        <v>17</v>
      </c>
      <c r="F225" s="13">
        <v>14</v>
      </c>
      <c r="G225" s="13">
        <v>1.6950000000000001</v>
      </c>
      <c r="H225" s="13">
        <v>12.590999999999999</v>
      </c>
      <c r="I225" s="13">
        <v>74.066999999999993</v>
      </c>
      <c r="J225" s="13">
        <v>89.938999999999993</v>
      </c>
    </row>
    <row r="226" spans="1:10" ht="45" x14ac:dyDescent="0.2">
      <c r="A226" s="15" t="s">
        <v>233</v>
      </c>
      <c r="B226" s="16" t="s">
        <v>235</v>
      </c>
      <c r="C226" s="16" t="s">
        <v>23</v>
      </c>
      <c r="D226" s="16" t="s">
        <v>24</v>
      </c>
      <c r="E226" s="17">
        <v>17</v>
      </c>
      <c r="F226" s="17"/>
      <c r="G226" s="17"/>
      <c r="H226" s="17"/>
      <c r="I226" s="17"/>
      <c r="J226" s="17"/>
    </row>
    <row r="227" spans="1:10" ht="90" x14ac:dyDescent="0.2">
      <c r="A227" s="14" t="s">
        <v>236</v>
      </c>
      <c r="B227" s="12" t="s">
        <v>237</v>
      </c>
      <c r="C227" s="12"/>
      <c r="D227" s="12"/>
      <c r="E227" s="13"/>
      <c r="F227" s="13">
        <v>14</v>
      </c>
      <c r="G227" s="13">
        <v>1.6950000000000001</v>
      </c>
      <c r="H227" s="13">
        <v>12.590999999999999</v>
      </c>
      <c r="I227" s="13"/>
      <c r="J227" s="13">
        <v>89.938999999999993</v>
      </c>
    </row>
    <row r="228" spans="1:10" ht="78.75" x14ac:dyDescent="0.2">
      <c r="A228" s="18" t="s">
        <v>236</v>
      </c>
      <c r="B228" s="16" t="s">
        <v>238</v>
      </c>
      <c r="C228" s="16" t="s">
        <v>23</v>
      </c>
      <c r="D228" s="16" t="s">
        <v>24</v>
      </c>
      <c r="E228" s="17"/>
      <c r="F228" s="17">
        <v>14</v>
      </c>
      <c r="G228" s="17">
        <v>1.6950000000000001</v>
      </c>
      <c r="H228" s="17">
        <v>12.590999999999999</v>
      </c>
      <c r="I228" s="17"/>
      <c r="J228" s="17">
        <v>89.938999999999993</v>
      </c>
    </row>
    <row r="229" spans="1:10" ht="56.25" x14ac:dyDescent="0.2">
      <c r="A229" s="11" t="s">
        <v>239</v>
      </c>
      <c r="B229" s="12" t="s">
        <v>240</v>
      </c>
      <c r="C229" s="12"/>
      <c r="D229" s="12"/>
      <c r="E229" s="13">
        <v>1</v>
      </c>
      <c r="F229" s="13">
        <v>2.2999999999999998</v>
      </c>
      <c r="G229" s="13"/>
      <c r="H229" s="13">
        <v>2.2999999999999998</v>
      </c>
      <c r="I229" s="13">
        <v>230</v>
      </c>
      <c r="J229" s="13">
        <v>100</v>
      </c>
    </row>
    <row r="230" spans="1:10" ht="56.25" x14ac:dyDescent="0.2">
      <c r="A230" s="15" t="s">
        <v>239</v>
      </c>
      <c r="B230" s="16" t="s">
        <v>241</v>
      </c>
      <c r="C230" s="16" t="s">
        <v>23</v>
      </c>
      <c r="D230" s="16" t="s">
        <v>24</v>
      </c>
      <c r="E230" s="17">
        <v>1</v>
      </c>
      <c r="F230" s="17"/>
      <c r="G230" s="17"/>
      <c r="H230" s="17"/>
      <c r="I230" s="17"/>
      <c r="J230" s="17"/>
    </row>
    <row r="231" spans="1:10" ht="90" x14ac:dyDescent="0.2">
      <c r="A231" s="14" t="s">
        <v>242</v>
      </c>
      <c r="B231" s="12" t="s">
        <v>243</v>
      </c>
      <c r="C231" s="12"/>
      <c r="D231" s="12"/>
      <c r="E231" s="13"/>
      <c r="F231" s="13">
        <v>2.2999999999999998</v>
      </c>
      <c r="G231" s="13"/>
      <c r="H231" s="13">
        <v>2.2999999999999998</v>
      </c>
      <c r="I231" s="13"/>
      <c r="J231" s="13">
        <v>100</v>
      </c>
    </row>
    <row r="232" spans="1:10" ht="78.75" x14ac:dyDescent="0.2">
      <c r="A232" s="18" t="s">
        <v>242</v>
      </c>
      <c r="B232" s="16" t="s">
        <v>244</v>
      </c>
      <c r="C232" s="16" t="s">
        <v>23</v>
      </c>
      <c r="D232" s="16" t="s">
        <v>24</v>
      </c>
      <c r="E232" s="17"/>
      <c r="F232" s="17">
        <v>2.2999999999999998</v>
      </c>
      <c r="G232" s="17"/>
      <c r="H232" s="17">
        <v>2.2999999999999998</v>
      </c>
      <c r="I232" s="17"/>
      <c r="J232" s="17">
        <v>100</v>
      </c>
    </row>
    <row r="233" spans="1:10" ht="56.25" x14ac:dyDescent="0.2">
      <c r="A233" s="11" t="s">
        <v>245</v>
      </c>
      <c r="B233" s="12" t="s">
        <v>246</v>
      </c>
      <c r="C233" s="12"/>
      <c r="D233" s="12"/>
      <c r="E233" s="13">
        <v>220</v>
      </c>
      <c r="F233" s="13">
        <v>302</v>
      </c>
      <c r="G233" s="13"/>
      <c r="H233" s="13">
        <v>285</v>
      </c>
      <c r="I233" s="13">
        <v>129.54599999999999</v>
      </c>
      <c r="J233" s="13">
        <v>94.370999999999995</v>
      </c>
    </row>
    <row r="234" spans="1:10" ht="56.25" x14ac:dyDescent="0.2">
      <c r="A234" s="11" t="s">
        <v>247</v>
      </c>
      <c r="B234" s="12" t="s">
        <v>248</v>
      </c>
      <c r="C234" s="12"/>
      <c r="D234" s="12"/>
      <c r="E234" s="13">
        <v>220</v>
      </c>
      <c r="F234" s="13">
        <v>270</v>
      </c>
      <c r="G234" s="13"/>
      <c r="H234" s="13">
        <v>253</v>
      </c>
      <c r="I234" s="13">
        <v>115</v>
      </c>
      <c r="J234" s="13">
        <v>93.703999999999994</v>
      </c>
    </row>
    <row r="235" spans="1:10" ht="45" x14ac:dyDescent="0.2">
      <c r="A235" s="15" t="s">
        <v>247</v>
      </c>
      <c r="B235" s="16" t="s">
        <v>447</v>
      </c>
      <c r="C235" s="16" t="s">
        <v>23</v>
      </c>
      <c r="D235" s="16" t="s">
        <v>24</v>
      </c>
      <c r="E235" s="17">
        <v>21</v>
      </c>
      <c r="F235" s="17"/>
      <c r="G235" s="17"/>
      <c r="H235" s="17"/>
      <c r="I235" s="17"/>
      <c r="J235" s="17"/>
    </row>
    <row r="236" spans="1:10" ht="45" x14ac:dyDescent="0.2">
      <c r="A236" s="15" t="s">
        <v>247</v>
      </c>
      <c r="B236" s="16" t="s">
        <v>249</v>
      </c>
      <c r="C236" s="16" t="s">
        <v>23</v>
      </c>
      <c r="D236" s="16" t="s">
        <v>24</v>
      </c>
      <c r="E236" s="17">
        <v>199</v>
      </c>
      <c r="F236" s="17"/>
      <c r="G236" s="17"/>
      <c r="H236" s="17"/>
      <c r="I236" s="17"/>
      <c r="J236" s="17"/>
    </row>
    <row r="237" spans="1:10" ht="90" x14ac:dyDescent="0.2">
      <c r="A237" s="14" t="s">
        <v>250</v>
      </c>
      <c r="B237" s="12" t="s">
        <v>251</v>
      </c>
      <c r="C237" s="12"/>
      <c r="D237" s="12"/>
      <c r="E237" s="13"/>
      <c r="F237" s="13">
        <v>270</v>
      </c>
      <c r="G237" s="13"/>
      <c r="H237" s="13">
        <v>253</v>
      </c>
      <c r="I237" s="13"/>
      <c r="J237" s="13">
        <v>93.703999999999994</v>
      </c>
    </row>
    <row r="238" spans="1:10" ht="78.75" x14ac:dyDescent="0.2">
      <c r="A238" s="18" t="s">
        <v>250</v>
      </c>
      <c r="B238" s="16" t="s">
        <v>855</v>
      </c>
      <c r="C238" s="16" t="s">
        <v>23</v>
      </c>
      <c r="D238" s="16" t="s">
        <v>24</v>
      </c>
      <c r="E238" s="17"/>
      <c r="F238" s="17">
        <v>270</v>
      </c>
      <c r="G238" s="17"/>
      <c r="H238" s="17">
        <v>253</v>
      </c>
      <c r="I238" s="17"/>
      <c r="J238" s="17">
        <v>93.703999999999994</v>
      </c>
    </row>
    <row r="239" spans="1:10" ht="45" x14ac:dyDescent="0.2">
      <c r="A239" s="11" t="s">
        <v>252</v>
      </c>
      <c r="B239" s="12" t="s">
        <v>856</v>
      </c>
      <c r="C239" s="12"/>
      <c r="D239" s="12"/>
      <c r="E239" s="13"/>
      <c r="F239" s="13">
        <v>32</v>
      </c>
      <c r="G239" s="13"/>
      <c r="H239" s="13">
        <v>32</v>
      </c>
      <c r="I239" s="13"/>
      <c r="J239" s="13">
        <v>100</v>
      </c>
    </row>
    <row r="240" spans="1:10" ht="78.75" x14ac:dyDescent="0.2">
      <c r="A240" s="14" t="s">
        <v>569</v>
      </c>
      <c r="B240" s="12" t="s">
        <v>570</v>
      </c>
      <c r="C240" s="12"/>
      <c r="D240" s="12"/>
      <c r="E240" s="13"/>
      <c r="F240" s="13">
        <v>32</v>
      </c>
      <c r="G240" s="13"/>
      <c r="H240" s="13">
        <v>32</v>
      </c>
      <c r="I240" s="13"/>
      <c r="J240" s="13">
        <v>100</v>
      </c>
    </row>
    <row r="241" spans="1:10" ht="67.5" x14ac:dyDescent="0.2">
      <c r="A241" s="18" t="s">
        <v>569</v>
      </c>
      <c r="B241" s="16" t="s">
        <v>732</v>
      </c>
      <c r="C241" s="16" t="s">
        <v>23</v>
      </c>
      <c r="D241" s="16" t="s">
        <v>24</v>
      </c>
      <c r="E241" s="17"/>
      <c r="F241" s="17">
        <v>32</v>
      </c>
      <c r="G241" s="17"/>
      <c r="H241" s="17">
        <v>32</v>
      </c>
      <c r="I241" s="17"/>
      <c r="J241" s="17">
        <v>100</v>
      </c>
    </row>
    <row r="242" spans="1:10" ht="22.5" x14ac:dyDescent="0.2">
      <c r="A242" s="11" t="s">
        <v>253</v>
      </c>
      <c r="B242" s="12" t="s">
        <v>254</v>
      </c>
      <c r="C242" s="12"/>
      <c r="D242" s="12"/>
      <c r="E242" s="13">
        <v>60.6</v>
      </c>
      <c r="F242" s="13"/>
      <c r="G242" s="13"/>
      <c r="H242" s="13"/>
      <c r="I242" s="13"/>
      <c r="J242" s="13"/>
    </row>
    <row r="243" spans="1:10" ht="45" x14ac:dyDescent="0.2">
      <c r="A243" s="11" t="s">
        <v>255</v>
      </c>
      <c r="B243" s="12" t="s">
        <v>256</v>
      </c>
      <c r="C243" s="12"/>
      <c r="D243" s="12"/>
      <c r="E243" s="13">
        <v>60.6</v>
      </c>
      <c r="F243" s="13"/>
      <c r="G243" s="13"/>
      <c r="H243" s="13"/>
      <c r="I243" s="13"/>
      <c r="J243" s="13"/>
    </row>
    <row r="244" spans="1:10" ht="45" x14ac:dyDescent="0.2">
      <c r="A244" s="11" t="s">
        <v>257</v>
      </c>
      <c r="B244" s="12" t="s">
        <v>258</v>
      </c>
      <c r="C244" s="12"/>
      <c r="D244" s="12"/>
      <c r="E244" s="13">
        <v>60.6</v>
      </c>
      <c r="F244" s="13"/>
      <c r="G244" s="13"/>
      <c r="H244" s="13"/>
      <c r="I244" s="13"/>
      <c r="J244" s="13"/>
    </row>
    <row r="245" spans="1:10" ht="45" x14ac:dyDescent="0.2">
      <c r="A245" s="15" t="s">
        <v>257</v>
      </c>
      <c r="B245" s="16" t="s">
        <v>475</v>
      </c>
      <c r="C245" s="16" t="s">
        <v>23</v>
      </c>
      <c r="D245" s="16" t="s">
        <v>24</v>
      </c>
      <c r="E245" s="17">
        <v>60.6</v>
      </c>
      <c r="F245" s="17"/>
      <c r="G245" s="17"/>
      <c r="H245" s="17"/>
      <c r="I245" s="17"/>
      <c r="J245" s="17"/>
    </row>
    <row r="246" spans="1:10" ht="101.25" x14ac:dyDescent="0.2">
      <c r="A246" s="14" t="s">
        <v>259</v>
      </c>
      <c r="B246" s="12" t="s">
        <v>260</v>
      </c>
      <c r="C246" s="12"/>
      <c r="D246" s="12"/>
      <c r="E246" s="13">
        <v>886.6</v>
      </c>
      <c r="F246" s="13">
        <v>185.9</v>
      </c>
      <c r="G246" s="13">
        <v>0.89400000000000002</v>
      </c>
      <c r="H246" s="13">
        <v>103.81100000000001</v>
      </c>
      <c r="I246" s="13">
        <v>11.709</v>
      </c>
      <c r="J246" s="13">
        <v>55.841999999999999</v>
      </c>
    </row>
    <row r="247" spans="1:10" ht="33.75" x14ac:dyDescent="0.2">
      <c r="A247" s="11" t="s">
        <v>261</v>
      </c>
      <c r="B247" s="12" t="s">
        <v>262</v>
      </c>
      <c r="C247" s="12"/>
      <c r="D247" s="12"/>
      <c r="E247" s="13">
        <v>116.3</v>
      </c>
      <c r="F247" s="13">
        <v>74.900000000000006</v>
      </c>
      <c r="G247" s="13">
        <v>0.89400000000000002</v>
      </c>
      <c r="H247" s="13">
        <v>49.311</v>
      </c>
      <c r="I247" s="13">
        <v>42.4</v>
      </c>
      <c r="J247" s="13">
        <v>65.834999999999994</v>
      </c>
    </row>
    <row r="248" spans="1:10" ht="33.75" x14ac:dyDescent="0.2">
      <c r="A248" s="15" t="s">
        <v>261</v>
      </c>
      <c r="B248" s="16" t="s">
        <v>263</v>
      </c>
      <c r="C248" s="16" t="s">
        <v>23</v>
      </c>
      <c r="D248" s="16" t="s">
        <v>24</v>
      </c>
      <c r="E248" s="17">
        <v>16.7</v>
      </c>
      <c r="F248" s="17"/>
      <c r="G248" s="17"/>
      <c r="H248" s="17"/>
      <c r="I248" s="17"/>
      <c r="J248" s="17"/>
    </row>
    <row r="249" spans="1:10" ht="33.75" x14ac:dyDescent="0.2">
      <c r="A249" s="15" t="s">
        <v>261</v>
      </c>
      <c r="B249" s="16" t="s">
        <v>857</v>
      </c>
      <c r="C249" s="16" t="s">
        <v>23</v>
      </c>
      <c r="D249" s="16" t="s">
        <v>24</v>
      </c>
      <c r="E249" s="17">
        <v>99.6</v>
      </c>
      <c r="F249" s="17"/>
      <c r="G249" s="17"/>
      <c r="H249" s="17"/>
      <c r="I249" s="17"/>
      <c r="J249" s="17"/>
    </row>
    <row r="250" spans="1:10" ht="33.75" x14ac:dyDescent="0.2">
      <c r="A250" s="15" t="s">
        <v>261</v>
      </c>
      <c r="B250" s="16" t="s">
        <v>858</v>
      </c>
      <c r="C250" s="16" t="s">
        <v>23</v>
      </c>
      <c r="D250" s="16" t="s">
        <v>24</v>
      </c>
      <c r="E250" s="17"/>
      <c r="F250" s="17">
        <v>74.900000000000006</v>
      </c>
      <c r="G250" s="17">
        <v>0.89400000000000002</v>
      </c>
      <c r="H250" s="17">
        <v>49.261000000000003</v>
      </c>
      <c r="I250" s="17"/>
      <c r="J250" s="17">
        <v>65.769000000000005</v>
      </c>
    </row>
    <row r="251" spans="1:10" ht="67.5" x14ac:dyDescent="0.2">
      <c r="A251" s="11" t="s">
        <v>859</v>
      </c>
      <c r="B251" s="12" t="s">
        <v>860</v>
      </c>
      <c r="C251" s="12"/>
      <c r="D251" s="12"/>
      <c r="E251" s="13"/>
      <c r="F251" s="13"/>
      <c r="G251" s="13"/>
      <c r="H251" s="13">
        <v>0.05</v>
      </c>
      <c r="I251" s="13"/>
      <c r="J251" s="13"/>
    </row>
    <row r="252" spans="1:10" ht="67.5" x14ac:dyDescent="0.2">
      <c r="A252" s="15" t="s">
        <v>859</v>
      </c>
      <c r="B252" s="16" t="s">
        <v>861</v>
      </c>
      <c r="C252" s="16" t="s">
        <v>23</v>
      </c>
      <c r="D252" s="16" t="s">
        <v>24</v>
      </c>
      <c r="E252" s="17"/>
      <c r="F252" s="17"/>
      <c r="G252" s="17"/>
      <c r="H252" s="17">
        <v>0.05</v>
      </c>
      <c r="I252" s="17"/>
      <c r="J252" s="17"/>
    </row>
    <row r="253" spans="1:10" ht="33.75" x14ac:dyDescent="0.2">
      <c r="A253" s="11" t="s">
        <v>264</v>
      </c>
      <c r="B253" s="12" t="s">
        <v>265</v>
      </c>
      <c r="C253" s="12"/>
      <c r="D253" s="12"/>
      <c r="E253" s="13">
        <v>36.700000000000003</v>
      </c>
      <c r="F253" s="13">
        <v>46</v>
      </c>
      <c r="G253" s="13"/>
      <c r="H253" s="13">
        <v>34.5</v>
      </c>
      <c r="I253" s="13">
        <v>94.004999999999995</v>
      </c>
      <c r="J253" s="13">
        <v>75</v>
      </c>
    </row>
    <row r="254" spans="1:10" ht="22.5" x14ac:dyDescent="0.2">
      <c r="A254" s="15" t="s">
        <v>264</v>
      </c>
      <c r="B254" s="16" t="s">
        <v>266</v>
      </c>
      <c r="C254" s="16" t="s">
        <v>23</v>
      </c>
      <c r="D254" s="16" t="s">
        <v>24</v>
      </c>
      <c r="E254" s="17">
        <v>36.700000000000003</v>
      </c>
      <c r="F254" s="17"/>
      <c r="G254" s="17"/>
      <c r="H254" s="17"/>
      <c r="I254" s="17"/>
      <c r="J254" s="17"/>
    </row>
    <row r="255" spans="1:10" ht="56.25" x14ac:dyDescent="0.2">
      <c r="A255" s="11" t="s">
        <v>267</v>
      </c>
      <c r="B255" s="12" t="s">
        <v>268</v>
      </c>
      <c r="C255" s="12"/>
      <c r="D255" s="12"/>
      <c r="E255" s="13"/>
      <c r="F255" s="13">
        <v>46</v>
      </c>
      <c r="G255" s="13"/>
      <c r="H255" s="13">
        <v>34.5</v>
      </c>
      <c r="I255" s="13"/>
      <c r="J255" s="13">
        <v>75</v>
      </c>
    </row>
    <row r="256" spans="1:10" ht="56.25" x14ac:dyDescent="0.2">
      <c r="A256" s="15" t="s">
        <v>267</v>
      </c>
      <c r="B256" s="16" t="s">
        <v>269</v>
      </c>
      <c r="C256" s="16" t="s">
        <v>23</v>
      </c>
      <c r="D256" s="16" t="s">
        <v>24</v>
      </c>
      <c r="E256" s="17"/>
      <c r="F256" s="17">
        <v>46</v>
      </c>
      <c r="G256" s="17"/>
      <c r="H256" s="17">
        <v>34.5</v>
      </c>
      <c r="I256" s="17"/>
      <c r="J256" s="17">
        <v>75</v>
      </c>
    </row>
    <row r="257" spans="1:10" ht="22.5" x14ac:dyDescent="0.2">
      <c r="A257" s="11" t="s">
        <v>270</v>
      </c>
      <c r="B257" s="12" t="s">
        <v>271</v>
      </c>
      <c r="C257" s="12"/>
      <c r="D257" s="12"/>
      <c r="E257" s="13">
        <v>733.6</v>
      </c>
      <c r="F257" s="13">
        <v>65</v>
      </c>
      <c r="G257" s="13"/>
      <c r="H257" s="13">
        <v>20</v>
      </c>
      <c r="I257" s="13">
        <v>2.726</v>
      </c>
      <c r="J257" s="13">
        <v>30.768999999999998</v>
      </c>
    </row>
    <row r="258" spans="1:10" ht="22.5" x14ac:dyDescent="0.2">
      <c r="A258" s="15" t="s">
        <v>270</v>
      </c>
      <c r="B258" s="16" t="s">
        <v>272</v>
      </c>
      <c r="C258" s="16" t="s">
        <v>23</v>
      </c>
      <c r="D258" s="16" t="s">
        <v>24</v>
      </c>
      <c r="E258" s="17">
        <v>733.6</v>
      </c>
      <c r="F258" s="17"/>
      <c r="G258" s="17"/>
      <c r="H258" s="17"/>
      <c r="I258" s="17"/>
      <c r="J258" s="17"/>
    </row>
    <row r="259" spans="1:10" ht="56.25" x14ac:dyDescent="0.2">
      <c r="A259" s="11" t="s">
        <v>273</v>
      </c>
      <c r="B259" s="12" t="s">
        <v>274</v>
      </c>
      <c r="C259" s="12"/>
      <c r="D259" s="12"/>
      <c r="E259" s="13"/>
      <c r="F259" s="13">
        <v>65</v>
      </c>
      <c r="G259" s="13"/>
      <c r="H259" s="13">
        <v>20</v>
      </c>
      <c r="I259" s="13"/>
      <c r="J259" s="13">
        <v>30.768999999999998</v>
      </c>
    </row>
    <row r="260" spans="1:10" ht="56.25" x14ac:dyDescent="0.2">
      <c r="A260" s="15" t="s">
        <v>273</v>
      </c>
      <c r="B260" s="16" t="s">
        <v>862</v>
      </c>
      <c r="C260" s="16" t="s">
        <v>23</v>
      </c>
      <c r="D260" s="16" t="s">
        <v>24</v>
      </c>
      <c r="E260" s="17"/>
      <c r="F260" s="17">
        <v>45</v>
      </c>
      <c r="G260" s="17"/>
      <c r="H260" s="17"/>
      <c r="I260" s="17"/>
      <c r="J260" s="17"/>
    </row>
    <row r="261" spans="1:10" ht="56.25" x14ac:dyDescent="0.2">
      <c r="A261" s="15" t="s">
        <v>273</v>
      </c>
      <c r="B261" s="16" t="s">
        <v>275</v>
      </c>
      <c r="C261" s="16" t="s">
        <v>23</v>
      </c>
      <c r="D261" s="16" t="s">
        <v>24</v>
      </c>
      <c r="E261" s="17"/>
      <c r="F261" s="17">
        <v>20</v>
      </c>
      <c r="G261" s="17"/>
      <c r="H261" s="17">
        <v>20</v>
      </c>
      <c r="I261" s="17"/>
      <c r="J261" s="17">
        <v>100</v>
      </c>
    </row>
    <row r="262" spans="1:10" ht="56.25" x14ac:dyDescent="0.2">
      <c r="A262" s="11" t="s">
        <v>276</v>
      </c>
      <c r="B262" s="12" t="s">
        <v>277</v>
      </c>
      <c r="C262" s="12"/>
      <c r="D262" s="12"/>
      <c r="E262" s="13">
        <v>298.89999999999998</v>
      </c>
      <c r="F262" s="13">
        <v>653</v>
      </c>
      <c r="G262" s="13">
        <v>106.176</v>
      </c>
      <c r="H262" s="13">
        <v>759.14099999999996</v>
      </c>
      <c r="I262" s="13">
        <v>253.97800000000001</v>
      </c>
      <c r="J262" s="13">
        <v>116.254</v>
      </c>
    </row>
    <row r="263" spans="1:10" ht="45" x14ac:dyDescent="0.2">
      <c r="A263" s="15" t="s">
        <v>276</v>
      </c>
      <c r="B263" s="16" t="s">
        <v>278</v>
      </c>
      <c r="C263" s="16" t="s">
        <v>23</v>
      </c>
      <c r="D263" s="16" t="s">
        <v>24</v>
      </c>
      <c r="E263" s="17">
        <v>262.89999999999998</v>
      </c>
      <c r="F263" s="17"/>
      <c r="G263" s="17"/>
      <c r="H263" s="17"/>
      <c r="I263" s="17"/>
      <c r="J263" s="17"/>
    </row>
    <row r="264" spans="1:10" ht="45" x14ac:dyDescent="0.2">
      <c r="A264" s="15" t="s">
        <v>276</v>
      </c>
      <c r="B264" s="16" t="s">
        <v>279</v>
      </c>
      <c r="C264" s="16" t="s">
        <v>23</v>
      </c>
      <c r="D264" s="16" t="s">
        <v>24</v>
      </c>
      <c r="E264" s="17">
        <v>36</v>
      </c>
      <c r="F264" s="17"/>
      <c r="G264" s="17"/>
      <c r="H264" s="17"/>
      <c r="I264" s="17"/>
      <c r="J264" s="17"/>
    </row>
    <row r="265" spans="1:10" ht="90" x14ac:dyDescent="0.2">
      <c r="A265" s="14" t="s">
        <v>280</v>
      </c>
      <c r="B265" s="12" t="s">
        <v>281</v>
      </c>
      <c r="C265" s="12"/>
      <c r="D265" s="12"/>
      <c r="E265" s="13"/>
      <c r="F265" s="13">
        <v>653</v>
      </c>
      <c r="G265" s="13">
        <v>106.176</v>
      </c>
      <c r="H265" s="13">
        <v>759.14099999999996</v>
      </c>
      <c r="I265" s="13"/>
      <c r="J265" s="13">
        <v>116.254</v>
      </c>
    </row>
    <row r="266" spans="1:10" ht="78.75" x14ac:dyDescent="0.2">
      <c r="A266" s="18" t="s">
        <v>280</v>
      </c>
      <c r="B266" s="16" t="s">
        <v>282</v>
      </c>
      <c r="C266" s="16" t="s">
        <v>23</v>
      </c>
      <c r="D266" s="16" t="s">
        <v>24</v>
      </c>
      <c r="E266" s="17"/>
      <c r="F266" s="17">
        <v>619.5</v>
      </c>
      <c r="G266" s="17">
        <v>98.7</v>
      </c>
      <c r="H266" s="17">
        <v>718.2</v>
      </c>
      <c r="I266" s="17"/>
      <c r="J266" s="17">
        <v>115.932</v>
      </c>
    </row>
    <row r="267" spans="1:10" ht="78.75" x14ac:dyDescent="0.2">
      <c r="A267" s="18" t="s">
        <v>280</v>
      </c>
      <c r="B267" s="16" t="s">
        <v>283</v>
      </c>
      <c r="C267" s="16" t="s">
        <v>23</v>
      </c>
      <c r="D267" s="16" t="s">
        <v>24</v>
      </c>
      <c r="E267" s="17"/>
      <c r="F267" s="17">
        <v>33.5</v>
      </c>
      <c r="G267" s="17">
        <v>7.476</v>
      </c>
      <c r="H267" s="17">
        <v>40.941000000000003</v>
      </c>
      <c r="I267" s="17"/>
      <c r="J267" s="17">
        <v>122.211</v>
      </c>
    </row>
    <row r="268" spans="1:10" ht="22.5" x14ac:dyDescent="0.2">
      <c r="A268" s="11" t="s">
        <v>284</v>
      </c>
      <c r="B268" s="12" t="s">
        <v>285</v>
      </c>
      <c r="C268" s="12"/>
      <c r="D268" s="12"/>
      <c r="E268" s="13">
        <v>88.4</v>
      </c>
      <c r="F268" s="13">
        <v>171.6</v>
      </c>
      <c r="G268" s="13">
        <v>2.5009999999999999</v>
      </c>
      <c r="H268" s="13">
        <v>170.40199999999999</v>
      </c>
      <c r="I268" s="13">
        <v>192.762</v>
      </c>
      <c r="J268" s="13">
        <v>99.302000000000007</v>
      </c>
    </row>
    <row r="269" spans="1:10" ht="45" x14ac:dyDescent="0.2">
      <c r="A269" s="11" t="s">
        <v>286</v>
      </c>
      <c r="B269" s="12" t="s">
        <v>287</v>
      </c>
      <c r="C269" s="12"/>
      <c r="D269" s="12"/>
      <c r="E269" s="13">
        <v>31.4</v>
      </c>
      <c r="F269" s="13">
        <v>14.7</v>
      </c>
      <c r="G269" s="13"/>
      <c r="H269" s="13">
        <v>11</v>
      </c>
      <c r="I269" s="13">
        <v>35.031999999999996</v>
      </c>
      <c r="J269" s="13">
        <v>74.83</v>
      </c>
    </row>
    <row r="270" spans="1:10" ht="56.25" x14ac:dyDescent="0.2">
      <c r="A270" s="11" t="s">
        <v>288</v>
      </c>
      <c r="B270" s="12" t="s">
        <v>289</v>
      </c>
      <c r="C270" s="12"/>
      <c r="D270" s="12"/>
      <c r="E270" s="13">
        <v>31.4</v>
      </c>
      <c r="F270" s="13">
        <v>14.7</v>
      </c>
      <c r="G270" s="13"/>
      <c r="H270" s="13">
        <v>11</v>
      </c>
      <c r="I270" s="13">
        <v>35.031999999999996</v>
      </c>
      <c r="J270" s="13">
        <v>74.83</v>
      </c>
    </row>
    <row r="271" spans="1:10" ht="45" x14ac:dyDescent="0.2">
      <c r="A271" s="15" t="s">
        <v>288</v>
      </c>
      <c r="B271" s="16" t="s">
        <v>290</v>
      </c>
      <c r="C271" s="16" t="s">
        <v>23</v>
      </c>
      <c r="D271" s="16" t="s">
        <v>24</v>
      </c>
      <c r="E271" s="17">
        <v>31.4</v>
      </c>
      <c r="F271" s="17"/>
      <c r="G271" s="17"/>
      <c r="H271" s="17"/>
      <c r="I271" s="17"/>
      <c r="J271" s="17"/>
    </row>
    <row r="272" spans="1:10" ht="90" x14ac:dyDescent="0.2">
      <c r="A272" s="14" t="s">
        <v>291</v>
      </c>
      <c r="B272" s="12" t="s">
        <v>292</v>
      </c>
      <c r="C272" s="12"/>
      <c r="D272" s="12"/>
      <c r="E272" s="13"/>
      <c r="F272" s="13">
        <v>14.7</v>
      </c>
      <c r="G272" s="13"/>
      <c r="H272" s="13">
        <v>11</v>
      </c>
      <c r="I272" s="13"/>
      <c r="J272" s="13">
        <v>74.83</v>
      </c>
    </row>
    <row r="273" spans="1:10" ht="78.75" x14ac:dyDescent="0.2">
      <c r="A273" s="18" t="s">
        <v>291</v>
      </c>
      <c r="B273" s="16" t="s">
        <v>293</v>
      </c>
      <c r="C273" s="16" t="s">
        <v>23</v>
      </c>
      <c r="D273" s="16" t="s">
        <v>24</v>
      </c>
      <c r="E273" s="17"/>
      <c r="F273" s="17">
        <v>14.7</v>
      </c>
      <c r="G273" s="17"/>
      <c r="H273" s="17">
        <v>11</v>
      </c>
      <c r="I273" s="17"/>
      <c r="J273" s="17">
        <v>74.83</v>
      </c>
    </row>
    <row r="274" spans="1:10" ht="22.5" x14ac:dyDescent="0.2">
      <c r="A274" s="11" t="s">
        <v>294</v>
      </c>
      <c r="B274" s="12" t="s">
        <v>295</v>
      </c>
      <c r="C274" s="12"/>
      <c r="D274" s="12"/>
      <c r="E274" s="13">
        <v>57</v>
      </c>
      <c r="F274" s="13">
        <v>156.9</v>
      </c>
      <c r="G274" s="13">
        <v>2.5009999999999999</v>
      </c>
      <c r="H274" s="13">
        <v>159.40199999999999</v>
      </c>
      <c r="I274" s="13">
        <v>279.65199999999999</v>
      </c>
      <c r="J274" s="13">
        <v>101.595</v>
      </c>
    </row>
    <row r="275" spans="1:10" ht="22.5" x14ac:dyDescent="0.2">
      <c r="A275" s="15" t="s">
        <v>294</v>
      </c>
      <c r="B275" s="16" t="s">
        <v>296</v>
      </c>
      <c r="C275" s="16" t="s">
        <v>23</v>
      </c>
      <c r="D275" s="16" t="s">
        <v>24</v>
      </c>
      <c r="E275" s="17">
        <v>57</v>
      </c>
      <c r="F275" s="17"/>
      <c r="G275" s="17"/>
      <c r="H275" s="17"/>
      <c r="I275" s="17"/>
      <c r="J275" s="17"/>
    </row>
    <row r="276" spans="1:10" ht="56.25" x14ac:dyDescent="0.2">
      <c r="A276" s="11" t="s">
        <v>297</v>
      </c>
      <c r="B276" s="12" t="s">
        <v>298</v>
      </c>
      <c r="C276" s="12"/>
      <c r="D276" s="12"/>
      <c r="E276" s="13"/>
      <c r="F276" s="13">
        <v>156.9</v>
      </c>
      <c r="G276" s="13">
        <v>2.5009999999999999</v>
      </c>
      <c r="H276" s="13">
        <v>159.40199999999999</v>
      </c>
      <c r="I276" s="13"/>
      <c r="J276" s="13">
        <v>101.595</v>
      </c>
    </row>
    <row r="277" spans="1:10" ht="56.25" x14ac:dyDescent="0.2">
      <c r="A277" s="15" t="s">
        <v>297</v>
      </c>
      <c r="B277" s="16" t="s">
        <v>299</v>
      </c>
      <c r="C277" s="16" t="s">
        <v>23</v>
      </c>
      <c r="D277" s="16" t="s">
        <v>24</v>
      </c>
      <c r="E277" s="17"/>
      <c r="F277" s="17">
        <v>156.9</v>
      </c>
      <c r="G277" s="17">
        <v>2.5009999999999999</v>
      </c>
      <c r="H277" s="17">
        <v>159.40199999999999</v>
      </c>
      <c r="I277" s="17"/>
      <c r="J277" s="17">
        <v>101.595</v>
      </c>
    </row>
    <row r="278" spans="1:10" ht="56.25" x14ac:dyDescent="0.2">
      <c r="A278" s="11" t="s">
        <v>300</v>
      </c>
      <c r="B278" s="12" t="s">
        <v>301</v>
      </c>
      <c r="C278" s="12"/>
      <c r="D278" s="12"/>
      <c r="E278" s="13"/>
      <c r="F278" s="13">
        <v>34.200000000000003</v>
      </c>
      <c r="G278" s="13"/>
      <c r="H278" s="13">
        <v>34.192</v>
      </c>
      <c r="I278" s="13"/>
      <c r="J278" s="13">
        <v>99.977999999999994</v>
      </c>
    </row>
    <row r="279" spans="1:10" ht="67.5" x14ac:dyDescent="0.2">
      <c r="A279" s="11" t="s">
        <v>302</v>
      </c>
      <c r="B279" s="12" t="s">
        <v>303</v>
      </c>
      <c r="C279" s="12"/>
      <c r="D279" s="12"/>
      <c r="E279" s="13"/>
      <c r="F279" s="13">
        <v>34.200000000000003</v>
      </c>
      <c r="G279" s="13"/>
      <c r="H279" s="13">
        <v>34.192</v>
      </c>
      <c r="I279" s="13"/>
      <c r="J279" s="13">
        <v>99.977999999999994</v>
      </c>
    </row>
    <row r="280" spans="1:10" ht="56.25" x14ac:dyDescent="0.2">
      <c r="A280" s="15" t="s">
        <v>302</v>
      </c>
      <c r="B280" s="16" t="s">
        <v>304</v>
      </c>
      <c r="C280" s="16" t="s">
        <v>23</v>
      </c>
      <c r="D280" s="16" t="s">
        <v>24</v>
      </c>
      <c r="E280" s="17"/>
      <c r="F280" s="17">
        <v>30</v>
      </c>
      <c r="G280" s="17"/>
      <c r="H280" s="17">
        <v>30</v>
      </c>
      <c r="I280" s="17"/>
      <c r="J280" s="17">
        <v>100</v>
      </c>
    </row>
    <row r="281" spans="1:10" ht="56.25" x14ac:dyDescent="0.2">
      <c r="A281" s="15" t="s">
        <v>302</v>
      </c>
      <c r="B281" s="16" t="s">
        <v>733</v>
      </c>
      <c r="C281" s="16" t="s">
        <v>23</v>
      </c>
      <c r="D281" s="16" t="s">
        <v>24</v>
      </c>
      <c r="E281" s="17"/>
      <c r="F281" s="17">
        <v>4.2</v>
      </c>
      <c r="G281" s="17"/>
      <c r="H281" s="17">
        <v>4.1920000000000002</v>
      </c>
      <c r="I281" s="17"/>
      <c r="J281" s="17">
        <v>99.816999999999993</v>
      </c>
    </row>
    <row r="282" spans="1:10" ht="22.5" x14ac:dyDescent="0.2">
      <c r="A282" s="11" t="s">
        <v>305</v>
      </c>
      <c r="B282" s="12" t="s">
        <v>306</v>
      </c>
      <c r="C282" s="12"/>
      <c r="D282" s="12"/>
      <c r="E282" s="13">
        <v>20</v>
      </c>
      <c r="F282" s="13">
        <v>58.1</v>
      </c>
      <c r="G282" s="13"/>
      <c r="H282" s="13">
        <v>31.628</v>
      </c>
      <c r="I282" s="13">
        <v>158.13999999999999</v>
      </c>
      <c r="J282" s="13">
        <v>54.436999999999998</v>
      </c>
    </row>
    <row r="283" spans="1:10" ht="33.75" x14ac:dyDescent="0.2">
      <c r="A283" s="11" t="s">
        <v>307</v>
      </c>
      <c r="B283" s="12" t="s">
        <v>308</v>
      </c>
      <c r="C283" s="12"/>
      <c r="D283" s="12"/>
      <c r="E283" s="13">
        <v>20</v>
      </c>
      <c r="F283" s="13">
        <v>58.1</v>
      </c>
      <c r="G283" s="13"/>
      <c r="H283" s="13">
        <v>31.628</v>
      </c>
      <c r="I283" s="13">
        <v>158.13999999999999</v>
      </c>
      <c r="J283" s="13">
        <v>54.436999999999998</v>
      </c>
    </row>
    <row r="284" spans="1:10" ht="33.75" x14ac:dyDescent="0.2">
      <c r="A284" s="15" t="s">
        <v>307</v>
      </c>
      <c r="B284" s="16" t="s">
        <v>309</v>
      </c>
      <c r="C284" s="16" t="s">
        <v>23</v>
      </c>
      <c r="D284" s="16" t="s">
        <v>24</v>
      </c>
      <c r="E284" s="17">
        <v>20</v>
      </c>
      <c r="F284" s="17"/>
      <c r="G284" s="17"/>
      <c r="H284" s="17"/>
      <c r="I284" s="17"/>
      <c r="J284" s="17"/>
    </row>
    <row r="285" spans="1:10" ht="67.5" x14ac:dyDescent="0.2">
      <c r="A285" s="11" t="s">
        <v>310</v>
      </c>
      <c r="B285" s="12" t="s">
        <v>311</v>
      </c>
      <c r="C285" s="12"/>
      <c r="D285" s="12"/>
      <c r="E285" s="13"/>
      <c r="F285" s="13">
        <v>58.1</v>
      </c>
      <c r="G285" s="13"/>
      <c r="H285" s="13">
        <v>31.628</v>
      </c>
      <c r="I285" s="13"/>
      <c r="J285" s="13">
        <v>54.436999999999998</v>
      </c>
    </row>
    <row r="286" spans="1:10" ht="67.5" x14ac:dyDescent="0.2">
      <c r="A286" s="15" t="s">
        <v>310</v>
      </c>
      <c r="B286" s="16" t="s">
        <v>312</v>
      </c>
      <c r="C286" s="16" t="s">
        <v>23</v>
      </c>
      <c r="D286" s="16" t="s">
        <v>24</v>
      </c>
      <c r="E286" s="17"/>
      <c r="F286" s="17">
        <v>58.1</v>
      </c>
      <c r="G286" s="17"/>
      <c r="H286" s="17">
        <v>31.628</v>
      </c>
      <c r="I286" s="17"/>
      <c r="J286" s="17">
        <v>54.436999999999998</v>
      </c>
    </row>
    <row r="287" spans="1:10" ht="56.25" x14ac:dyDescent="0.2">
      <c r="A287" s="11" t="s">
        <v>313</v>
      </c>
      <c r="B287" s="12" t="s">
        <v>314</v>
      </c>
      <c r="C287" s="12"/>
      <c r="D287" s="12"/>
      <c r="E287" s="13">
        <v>62</v>
      </c>
      <c r="F287" s="13">
        <v>398</v>
      </c>
      <c r="G287" s="13">
        <v>10.746</v>
      </c>
      <c r="H287" s="13">
        <v>386.27499999999998</v>
      </c>
      <c r="I287" s="13">
        <v>623.024</v>
      </c>
      <c r="J287" s="13">
        <v>97.054000000000002</v>
      </c>
    </row>
    <row r="288" spans="1:10" ht="56.25" x14ac:dyDescent="0.2">
      <c r="A288" s="15" t="s">
        <v>313</v>
      </c>
      <c r="B288" s="16" t="s">
        <v>734</v>
      </c>
      <c r="C288" s="16" t="s">
        <v>23</v>
      </c>
      <c r="D288" s="16" t="s">
        <v>24</v>
      </c>
      <c r="E288" s="17">
        <v>62</v>
      </c>
      <c r="F288" s="17"/>
      <c r="G288" s="17"/>
      <c r="H288" s="17"/>
      <c r="I288" s="17"/>
      <c r="J288" s="17"/>
    </row>
    <row r="289" spans="1:10" ht="56.25" x14ac:dyDescent="0.2">
      <c r="A289" s="15" t="s">
        <v>313</v>
      </c>
      <c r="B289" s="16" t="s">
        <v>735</v>
      </c>
      <c r="C289" s="16" t="s">
        <v>23</v>
      </c>
      <c r="D289" s="16" t="s">
        <v>24</v>
      </c>
      <c r="E289" s="17"/>
      <c r="F289" s="17">
        <v>200</v>
      </c>
      <c r="G289" s="17"/>
      <c r="H289" s="17">
        <v>200</v>
      </c>
      <c r="I289" s="17"/>
      <c r="J289" s="17">
        <v>100</v>
      </c>
    </row>
    <row r="290" spans="1:10" ht="90" x14ac:dyDescent="0.2">
      <c r="A290" s="14" t="s">
        <v>315</v>
      </c>
      <c r="B290" s="12" t="s">
        <v>316</v>
      </c>
      <c r="C290" s="12"/>
      <c r="D290" s="12"/>
      <c r="E290" s="13"/>
      <c r="F290" s="13">
        <v>198</v>
      </c>
      <c r="G290" s="13">
        <v>10.746</v>
      </c>
      <c r="H290" s="13">
        <v>186.27500000000001</v>
      </c>
      <c r="I290" s="13"/>
      <c r="J290" s="13">
        <v>94.078000000000003</v>
      </c>
    </row>
    <row r="291" spans="1:10" ht="90" x14ac:dyDescent="0.2">
      <c r="A291" s="18" t="s">
        <v>315</v>
      </c>
      <c r="B291" s="16" t="s">
        <v>736</v>
      </c>
      <c r="C291" s="16" t="s">
        <v>23</v>
      </c>
      <c r="D291" s="16" t="s">
        <v>24</v>
      </c>
      <c r="E291" s="17"/>
      <c r="F291" s="17">
        <v>36.9</v>
      </c>
      <c r="G291" s="17"/>
      <c r="H291" s="17">
        <v>36.863999999999997</v>
      </c>
      <c r="I291" s="17"/>
      <c r="J291" s="17">
        <v>99.902000000000001</v>
      </c>
    </row>
    <row r="292" spans="1:10" ht="90" x14ac:dyDescent="0.2">
      <c r="A292" s="18" t="s">
        <v>315</v>
      </c>
      <c r="B292" s="16" t="s">
        <v>317</v>
      </c>
      <c r="C292" s="16" t="s">
        <v>23</v>
      </c>
      <c r="D292" s="16" t="s">
        <v>24</v>
      </c>
      <c r="E292" s="17"/>
      <c r="F292" s="17">
        <v>160</v>
      </c>
      <c r="G292" s="17">
        <v>10.746</v>
      </c>
      <c r="H292" s="17">
        <v>148.381</v>
      </c>
      <c r="I292" s="17"/>
      <c r="J292" s="17">
        <v>92.738</v>
      </c>
    </row>
    <row r="293" spans="1:10" ht="90" x14ac:dyDescent="0.2">
      <c r="A293" s="18" t="s">
        <v>315</v>
      </c>
      <c r="B293" s="16" t="s">
        <v>737</v>
      </c>
      <c r="C293" s="16" t="s">
        <v>23</v>
      </c>
      <c r="D293" s="16" t="s">
        <v>24</v>
      </c>
      <c r="E293" s="17"/>
      <c r="F293" s="17">
        <v>1.1000000000000001</v>
      </c>
      <c r="G293" s="17"/>
      <c r="H293" s="17">
        <v>1.03</v>
      </c>
      <c r="I293" s="17"/>
      <c r="J293" s="17">
        <v>93.635999999999996</v>
      </c>
    </row>
    <row r="294" spans="1:10" ht="22.5" x14ac:dyDescent="0.2">
      <c r="A294" s="11" t="s">
        <v>318</v>
      </c>
      <c r="B294" s="12" t="s">
        <v>319</v>
      </c>
      <c r="C294" s="12"/>
      <c r="D294" s="12"/>
      <c r="E294" s="13">
        <v>2639.4</v>
      </c>
      <c r="F294" s="13">
        <v>2522.8000000000002</v>
      </c>
      <c r="G294" s="13">
        <v>205.60499999999999</v>
      </c>
      <c r="H294" s="13">
        <v>2574.8980000000001</v>
      </c>
      <c r="I294" s="13">
        <v>97.555999999999997</v>
      </c>
      <c r="J294" s="13">
        <v>102.065</v>
      </c>
    </row>
    <row r="295" spans="1:10" ht="33.75" x14ac:dyDescent="0.2">
      <c r="A295" s="11" t="s">
        <v>320</v>
      </c>
      <c r="B295" s="12" t="s">
        <v>321</v>
      </c>
      <c r="C295" s="12"/>
      <c r="D295" s="12"/>
      <c r="E295" s="13">
        <v>2639.4</v>
      </c>
      <c r="F295" s="13">
        <v>2522.8000000000002</v>
      </c>
      <c r="G295" s="13">
        <v>205.60499999999999</v>
      </c>
      <c r="H295" s="13">
        <v>2574.8980000000001</v>
      </c>
      <c r="I295" s="13">
        <v>97.555999999999997</v>
      </c>
      <c r="J295" s="13">
        <v>102.065</v>
      </c>
    </row>
    <row r="296" spans="1:10" ht="33.75" x14ac:dyDescent="0.2">
      <c r="A296" s="15" t="s">
        <v>320</v>
      </c>
      <c r="B296" s="16" t="s">
        <v>322</v>
      </c>
      <c r="C296" s="16" t="s">
        <v>23</v>
      </c>
      <c r="D296" s="16" t="s">
        <v>24</v>
      </c>
      <c r="E296" s="17">
        <v>390.8</v>
      </c>
      <c r="F296" s="17"/>
      <c r="G296" s="17"/>
      <c r="H296" s="17"/>
      <c r="I296" s="17"/>
      <c r="J296" s="17"/>
    </row>
    <row r="297" spans="1:10" ht="33.75" x14ac:dyDescent="0.2">
      <c r="A297" s="15" t="s">
        <v>320</v>
      </c>
      <c r="B297" s="16" t="s">
        <v>448</v>
      </c>
      <c r="C297" s="16" t="s">
        <v>23</v>
      </c>
      <c r="D297" s="16" t="s">
        <v>24</v>
      </c>
      <c r="E297" s="17">
        <v>99.6</v>
      </c>
      <c r="F297" s="17"/>
      <c r="G297" s="17"/>
      <c r="H297" s="17"/>
      <c r="I297" s="17"/>
      <c r="J297" s="17"/>
    </row>
    <row r="298" spans="1:10" ht="33.75" x14ac:dyDescent="0.2">
      <c r="A298" s="15" t="s">
        <v>320</v>
      </c>
      <c r="B298" s="16" t="s">
        <v>323</v>
      </c>
      <c r="C298" s="16" t="s">
        <v>23</v>
      </c>
      <c r="D298" s="16" t="s">
        <v>24</v>
      </c>
      <c r="E298" s="17">
        <v>32.6</v>
      </c>
      <c r="F298" s="17"/>
      <c r="G298" s="17"/>
      <c r="H298" s="17"/>
      <c r="I298" s="17"/>
      <c r="J298" s="17"/>
    </row>
    <row r="299" spans="1:10" ht="33.75" x14ac:dyDescent="0.2">
      <c r="A299" s="15" t="s">
        <v>320</v>
      </c>
      <c r="B299" s="16" t="s">
        <v>324</v>
      </c>
      <c r="C299" s="16" t="s">
        <v>23</v>
      </c>
      <c r="D299" s="16" t="s">
        <v>24</v>
      </c>
      <c r="E299" s="17">
        <v>1234.5999999999999</v>
      </c>
      <c r="F299" s="17"/>
      <c r="G299" s="17"/>
      <c r="H299" s="17"/>
      <c r="I299" s="17"/>
      <c r="J299" s="17"/>
    </row>
    <row r="300" spans="1:10" ht="33.75" x14ac:dyDescent="0.2">
      <c r="A300" s="15" t="s">
        <v>320</v>
      </c>
      <c r="B300" s="16" t="s">
        <v>325</v>
      </c>
      <c r="C300" s="16" t="s">
        <v>23</v>
      </c>
      <c r="D300" s="16" t="s">
        <v>24</v>
      </c>
      <c r="E300" s="17">
        <v>63.5</v>
      </c>
      <c r="F300" s="17"/>
      <c r="G300" s="17"/>
      <c r="H300" s="17"/>
      <c r="I300" s="17"/>
      <c r="J300" s="17"/>
    </row>
    <row r="301" spans="1:10" ht="33.75" x14ac:dyDescent="0.2">
      <c r="A301" s="15" t="s">
        <v>320</v>
      </c>
      <c r="B301" s="16" t="s">
        <v>326</v>
      </c>
      <c r="C301" s="16" t="s">
        <v>23</v>
      </c>
      <c r="D301" s="16" t="s">
        <v>24</v>
      </c>
      <c r="E301" s="17">
        <v>140</v>
      </c>
      <c r="F301" s="17">
        <v>77</v>
      </c>
      <c r="G301" s="17">
        <v>3.5</v>
      </c>
      <c r="H301" s="17">
        <v>47.18</v>
      </c>
      <c r="I301" s="17">
        <v>33.700000000000003</v>
      </c>
      <c r="J301" s="17">
        <v>61.273000000000003</v>
      </c>
    </row>
    <row r="302" spans="1:10" ht="33.75" x14ac:dyDescent="0.2">
      <c r="A302" s="15" t="s">
        <v>320</v>
      </c>
      <c r="B302" s="16" t="s">
        <v>738</v>
      </c>
      <c r="C302" s="16" t="s">
        <v>23</v>
      </c>
      <c r="D302" s="16" t="s">
        <v>24</v>
      </c>
      <c r="E302" s="17"/>
      <c r="F302" s="17">
        <v>50</v>
      </c>
      <c r="G302" s="17"/>
      <c r="H302" s="17">
        <v>50</v>
      </c>
      <c r="I302" s="17"/>
      <c r="J302" s="17">
        <v>100</v>
      </c>
    </row>
    <row r="303" spans="1:10" ht="33.75" x14ac:dyDescent="0.2">
      <c r="A303" s="15" t="s">
        <v>320</v>
      </c>
      <c r="B303" s="16" t="s">
        <v>327</v>
      </c>
      <c r="C303" s="16" t="s">
        <v>23</v>
      </c>
      <c r="D303" s="16" t="s">
        <v>24</v>
      </c>
      <c r="E303" s="17">
        <v>3</v>
      </c>
      <c r="F303" s="17"/>
      <c r="G303" s="17"/>
      <c r="H303" s="17"/>
      <c r="I303" s="17"/>
      <c r="J303" s="17"/>
    </row>
    <row r="304" spans="1:10" ht="33.75" x14ac:dyDescent="0.2">
      <c r="A304" s="15" t="s">
        <v>320</v>
      </c>
      <c r="B304" s="16" t="s">
        <v>328</v>
      </c>
      <c r="C304" s="16" t="s">
        <v>23</v>
      </c>
      <c r="D304" s="16" t="s">
        <v>24</v>
      </c>
      <c r="E304" s="17">
        <v>53.5</v>
      </c>
      <c r="F304" s="17">
        <v>36</v>
      </c>
      <c r="G304" s="17">
        <v>3</v>
      </c>
      <c r="H304" s="17">
        <v>30</v>
      </c>
      <c r="I304" s="17">
        <v>56.075000000000003</v>
      </c>
      <c r="J304" s="17">
        <v>83.332999999999998</v>
      </c>
    </row>
    <row r="305" spans="1:11" ht="33.75" x14ac:dyDescent="0.2">
      <c r="A305" s="15" t="s">
        <v>320</v>
      </c>
      <c r="B305" s="16" t="s">
        <v>739</v>
      </c>
      <c r="C305" s="16" t="s">
        <v>23</v>
      </c>
      <c r="D305" s="16" t="s">
        <v>24</v>
      </c>
      <c r="E305" s="17"/>
      <c r="F305" s="17">
        <v>123</v>
      </c>
      <c r="G305" s="17"/>
      <c r="H305" s="17">
        <v>122.1</v>
      </c>
      <c r="I305" s="17"/>
      <c r="J305" s="17">
        <v>99.268000000000001</v>
      </c>
    </row>
    <row r="306" spans="1:11" ht="33.75" x14ac:dyDescent="0.2">
      <c r="A306" s="15" t="s">
        <v>320</v>
      </c>
      <c r="B306" s="16" t="s">
        <v>329</v>
      </c>
      <c r="C306" s="16" t="s">
        <v>23</v>
      </c>
      <c r="D306" s="16" t="s">
        <v>24</v>
      </c>
      <c r="E306" s="17">
        <v>600.79999999999995</v>
      </c>
      <c r="F306" s="17">
        <v>630</v>
      </c>
      <c r="G306" s="17">
        <v>54.151000000000003</v>
      </c>
      <c r="H306" s="17">
        <v>684.14300000000003</v>
      </c>
      <c r="I306" s="17">
        <v>113.872</v>
      </c>
      <c r="J306" s="17">
        <v>108.59399999999999</v>
      </c>
    </row>
    <row r="307" spans="1:11" ht="33.75" x14ac:dyDescent="0.2">
      <c r="A307" s="15" t="s">
        <v>320</v>
      </c>
      <c r="B307" s="16" t="s">
        <v>863</v>
      </c>
      <c r="C307" s="16" t="s">
        <v>23</v>
      </c>
      <c r="D307" s="16" t="s">
        <v>24</v>
      </c>
      <c r="E307" s="17"/>
      <c r="F307" s="17">
        <v>37.6</v>
      </c>
      <c r="G307" s="17"/>
      <c r="H307" s="17">
        <v>37.603999999999999</v>
      </c>
      <c r="I307" s="17"/>
      <c r="J307" s="17">
        <v>100.01</v>
      </c>
    </row>
    <row r="308" spans="1:11" ht="33.75" x14ac:dyDescent="0.2">
      <c r="A308" s="15" t="s">
        <v>320</v>
      </c>
      <c r="B308" s="16" t="s">
        <v>330</v>
      </c>
      <c r="C308" s="16" t="s">
        <v>23</v>
      </c>
      <c r="D308" s="16" t="s">
        <v>24</v>
      </c>
      <c r="E308" s="17">
        <v>21</v>
      </c>
      <c r="F308" s="17"/>
      <c r="G308" s="17"/>
      <c r="H308" s="17"/>
      <c r="I308" s="17"/>
      <c r="J308" s="17"/>
    </row>
    <row r="309" spans="1:11" ht="67.5" x14ac:dyDescent="0.2">
      <c r="A309" s="14" t="s">
        <v>331</v>
      </c>
      <c r="B309" s="12" t="s">
        <v>332</v>
      </c>
      <c r="C309" s="12"/>
      <c r="D309" s="12"/>
      <c r="E309" s="13"/>
      <c r="F309" s="13">
        <v>1524.2</v>
      </c>
      <c r="G309" s="13">
        <v>144.95400000000001</v>
      </c>
      <c r="H309" s="13">
        <v>1566.8720000000001</v>
      </c>
      <c r="I309" s="13"/>
      <c r="J309" s="13">
        <v>102.8</v>
      </c>
    </row>
    <row r="310" spans="1:11" ht="67.5" x14ac:dyDescent="0.2">
      <c r="A310" s="18" t="s">
        <v>331</v>
      </c>
      <c r="B310" s="16" t="s">
        <v>333</v>
      </c>
      <c r="C310" s="16" t="s">
        <v>23</v>
      </c>
      <c r="D310" s="16" t="s">
        <v>24</v>
      </c>
      <c r="E310" s="17"/>
      <c r="F310" s="17">
        <v>404.5</v>
      </c>
      <c r="G310" s="17">
        <v>54.543999999999997</v>
      </c>
      <c r="H310" s="17">
        <v>452.53300000000002</v>
      </c>
      <c r="I310" s="17"/>
      <c r="J310" s="17">
        <v>111.875</v>
      </c>
    </row>
    <row r="311" spans="1:11" ht="67.5" x14ac:dyDescent="0.2">
      <c r="A311" s="18" t="s">
        <v>331</v>
      </c>
      <c r="B311" s="16" t="s">
        <v>334</v>
      </c>
      <c r="C311" s="16" t="s">
        <v>23</v>
      </c>
      <c r="D311" s="16" t="s">
        <v>24</v>
      </c>
      <c r="E311" s="17"/>
      <c r="F311" s="17">
        <v>64</v>
      </c>
      <c r="G311" s="17"/>
      <c r="H311" s="17">
        <v>40</v>
      </c>
      <c r="I311" s="17"/>
      <c r="J311" s="17">
        <v>62.5</v>
      </c>
    </row>
    <row r="312" spans="1:11" ht="67.5" x14ac:dyDescent="0.2">
      <c r="A312" s="18" t="s">
        <v>331</v>
      </c>
      <c r="B312" s="16" t="s">
        <v>335</v>
      </c>
      <c r="C312" s="16" t="s">
        <v>23</v>
      </c>
      <c r="D312" s="16" t="s">
        <v>24</v>
      </c>
      <c r="E312" s="17"/>
      <c r="F312" s="17">
        <v>981</v>
      </c>
      <c r="G312" s="17">
        <v>88.41</v>
      </c>
      <c r="H312" s="17">
        <v>997.64400000000001</v>
      </c>
      <c r="I312" s="17"/>
      <c r="J312" s="17">
        <v>101.697</v>
      </c>
    </row>
    <row r="313" spans="1:11" ht="67.5" x14ac:dyDescent="0.2">
      <c r="A313" s="18" t="s">
        <v>331</v>
      </c>
      <c r="B313" s="16" t="s">
        <v>336</v>
      </c>
      <c r="C313" s="16" t="s">
        <v>23</v>
      </c>
      <c r="D313" s="16" t="s">
        <v>24</v>
      </c>
      <c r="E313" s="17"/>
      <c r="F313" s="17">
        <v>74.7</v>
      </c>
      <c r="G313" s="17">
        <v>2</v>
      </c>
      <c r="H313" s="17">
        <v>76.694999999999993</v>
      </c>
      <c r="I313" s="17"/>
      <c r="J313" s="17">
        <v>102.67100000000001</v>
      </c>
    </row>
    <row r="314" spans="1:11" ht="45" x14ac:dyDescent="0.2">
      <c r="A314" s="11" t="s">
        <v>337</v>
      </c>
      <c r="B314" s="12" t="s">
        <v>338</v>
      </c>
      <c r="C314" s="12"/>
      <c r="D314" s="12"/>
      <c r="E314" s="13"/>
      <c r="F314" s="13">
        <v>45</v>
      </c>
      <c r="G314" s="13"/>
      <c r="H314" s="13">
        <v>37</v>
      </c>
      <c r="I314" s="13"/>
      <c r="J314" s="13">
        <v>82.221999999999994</v>
      </c>
    </row>
    <row r="315" spans="1:11" ht="45" x14ac:dyDescent="0.2">
      <c r="A315" s="15" t="s">
        <v>337</v>
      </c>
      <c r="B315" s="16" t="s">
        <v>339</v>
      </c>
      <c r="C315" s="16" t="s">
        <v>23</v>
      </c>
      <c r="D315" s="16" t="s">
        <v>24</v>
      </c>
      <c r="E315" s="17"/>
      <c r="F315" s="17">
        <v>45</v>
      </c>
      <c r="G315" s="17"/>
      <c r="H315" s="17">
        <v>37</v>
      </c>
      <c r="I315" s="17"/>
      <c r="J315" s="17">
        <v>82.221999999999994</v>
      </c>
    </row>
    <row r="316" spans="1:11" s="65" customFormat="1" ht="24" x14ac:dyDescent="0.2">
      <c r="A316" s="59" t="s">
        <v>340</v>
      </c>
      <c r="B316" s="60" t="s">
        <v>341</v>
      </c>
      <c r="C316" s="60"/>
      <c r="D316" s="60"/>
      <c r="E316" s="61">
        <v>50</v>
      </c>
      <c r="F316" s="62">
        <v>125</v>
      </c>
      <c r="G316" s="104">
        <v>-146.79499999999999</v>
      </c>
      <c r="H316" s="104">
        <v>117.568</v>
      </c>
      <c r="I316" s="104">
        <v>235.13499999999999</v>
      </c>
      <c r="J316" s="63">
        <v>94.054000000000002</v>
      </c>
      <c r="K316" s="64">
        <f>G316+G156</f>
        <v>-83.893999999999977</v>
      </c>
    </row>
    <row r="317" spans="1:11" x14ac:dyDescent="0.2">
      <c r="A317" s="11" t="s">
        <v>571</v>
      </c>
      <c r="B317" s="12" t="s">
        <v>572</v>
      </c>
      <c r="C317" s="12"/>
      <c r="D317" s="12"/>
      <c r="E317" s="13"/>
      <c r="F317" s="13"/>
      <c r="G317" s="13">
        <v>-118.842</v>
      </c>
      <c r="H317" s="13">
        <v>-16.399999999999999</v>
      </c>
      <c r="I317" s="13"/>
      <c r="J317" s="13"/>
    </row>
    <row r="318" spans="1:11" ht="22.5" x14ac:dyDescent="0.2">
      <c r="A318" s="11" t="s">
        <v>476</v>
      </c>
      <c r="B318" s="12" t="s">
        <v>477</v>
      </c>
      <c r="C318" s="12"/>
      <c r="D318" s="12"/>
      <c r="E318" s="13"/>
      <c r="F318" s="13"/>
      <c r="G318" s="13">
        <v>-118.842</v>
      </c>
      <c r="H318" s="13">
        <v>-16.399999999999999</v>
      </c>
      <c r="I318" s="13"/>
      <c r="J318" s="13"/>
    </row>
    <row r="319" spans="1:11" ht="22.5" x14ac:dyDescent="0.2">
      <c r="A319" s="15" t="s">
        <v>476</v>
      </c>
      <c r="B319" s="16" t="s">
        <v>478</v>
      </c>
      <c r="C319" s="16" t="s">
        <v>23</v>
      </c>
      <c r="D319" s="16" t="s">
        <v>24</v>
      </c>
      <c r="E319" s="17"/>
      <c r="F319" s="17"/>
      <c r="G319" s="17">
        <v>-5.0270000000000001</v>
      </c>
      <c r="H319" s="17">
        <v>-16.5</v>
      </c>
      <c r="I319" s="17"/>
      <c r="J319" s="17"/>
    </row>
    <row r="320" spans="1:11" ht="22.5" x14ac:dyDescent="0.2">
      <c r="A320" s="15" t="s">
        <v>476</v>
      </c>
      <c r="B320" s="16" t="s">
        <v>479</v>
      </c>
      <c r="C320" s="16" t="s">
        <v>23</v>
      </c>
      <c r="D320" s="16" t="s">
        <v>24</v>
      </c>
      <c r="E320" s="17"/>
      <c r="F320" s="17"/>
      <c r="G320" s="17">
        <v>-101.672</v>
      </c>
      <c r="H320" s="17">
        <v>0.1</v>
      </c>
      <c r="I320" s="17"/>
      <c r="J320" s="17"/>
    </row>
    <row r="321" spans="1:15" ht="22.5" x14ac:dyDescent="0.2">
      <c r="A321" s="15" t="s">
        <v>476</v>
      </c>
      <c r="B321" s="16" t="s">
        <v>864</v>
      </c>
      <c r="C321" s="16" t="s">
        <v>23</v>
      </c>
      <c r="D321" s="16" t="s">
        <v>24</v>
      </c>
      <c r="E321" s="17"/>
      <c r="F321" s="17"/>
      <c r="G321" s="17">
        <v>-12.143000000000001</v>
      </c>
      <c r="H321" s="17"/>
      <c r="I321" s="17"/>
      <c r="J321" s="17"/>
    </row>
    <row r="322" spans="1:15" x14ac:dyDescent="0.2">
      <c r="A322" s="11" t="s">
        <v>342</v>
      </c>
      <c r="B322" s="12" t="s">
        <v>343</v>
      </c>
      <c r="C322" s="12"/>
      <c r="D322" s="12"/>
      <c r="E322" s="13">
        <v>50</v>
      </c>
      <c r="F322" s="13">
        <v>125</v>
      </c>
      <c r="G322" s="13">
        <v>-27.952999999999999</v>
      </c>
      <c r="H322" s="13">
        <v>133.96799999999999</v>
      </c>
      <c r="I322" s="13">
        <v>267.935</v>
      </c>
      <c r="J322" s="13">
        <v>107.17400000000001</v>
      </c>
    </row>
    <row r="323" spans="1:15" ht="22.5" x14ac:dyDescent="0.2">
      <c r="A323" s="11" t="s">
        <v>344</v>
      </c>
      <c r="B323" s="12" t="s">
        <v>345</v>
      </c>
      <c r="C323" s="12"/>
      <c r="D323" s="12"/>
      <c r="E323" s="13">
        <v>50</v>
      </c>
      <c r="F323" s="13">
        <v>125</v>
      </c>
      <c r="G323" s="13">
        <v>-27.952999999999999</v>
      </c>
      <c r="H323" s="13">
        <v>133.96799999999999</v>
      </c>
      <c r="I323" s="13">
        <v>267.935</v>
      </c>
      <c r="J323" s="13">
        <v>107.17400000000001</v>
      </c>
    </row>
    <row r="324" spans="1:15" ht="22.5" x14ac:dyDescent="0.2">
      <c r="A324" s="15" t="s">
        <v>344</v>
      </c>
      <c r="B324" s="16" t="s">
        <v>865</v>
      </c>
      <c r="C324" s="16" t="s">
        <v>23</v>
      </c>
      <c r="D324" s="16" t="s">
        <v>24</v>
      </c>
      <c r="E324" s="17"/>
      <c r="F324" s="17">
        <v>5</v>
      </c>
      <c r="G324" s="17"/>
      <c r="H324" s="17">
        <v>4.9950000000000001</v>
      </c>
      <c r="I324" s="17"/>
      <c r="J324" s="17">
        <v>99.903999999999996</v>
      </c>
    </row>
    <row r="325" spans="1:15" ht="22.5" x14ac:dyDescent="0.2">
      <c r="A325" s="15" t="s">
        <v>344</v>
      </c>
      <c r="B325" s="16" t="s">
        <v>346</v>
      </c>
      <c r="C325" s="16" t="s">
        <v>23</v>
      </c>
      <c r="D325" s="16" t="s">
        <v>24</v>
      </c>
      <c r="E325" s="17">
        <v>50</v>
      </c>
      <c r="F325" s="17">
        <v>17.3</v>
      </c>
      <c r="G325" s="17">
        <v>-27.952999999999999</v>
      </c>
      <c r="H325" s="17">
        <v>26.311</v>
      </c>
      <c r="I325" s="17">
        <v>52.622</v>
      </c>
      <c r="J325" s="17">
        <v>152.08799999999999</v>
      </c>
    </row>
    <row r="326" spans="1:15" ht="22.5" x14ac:dyDescent="0.2">
      <c r="A326" s="15" t="s">
        <v>344</v>
      </c>
      <c r="B326" s="16" t="s">
        <v>740</v>
      </c>
      <c r="C326" s="16" t="s">
        <v>23</v>
      </c>
      <c r="D326" s="16" t="s">
        <v>24</v>
      </c>
      <c r="E326" s="17"/>
      <c r="F326" s="17">
        <v>102.7</v>
      </c>
      <c r="G326" s="17"/>
      <c r="H326" s="17">
        <v>102.661</v>
      </c>
      <c r="I326" s="17"/>
      <c r="J326" s="17">
        <v>99.962000000000003</v>
      </c>
    </row>
    <row r="327" spans="1:15" s="65" customFormat="1" ht="24" x14ac:dyDescent="0.2">
      <c r="A327" s="59" t="s">
        <v>347</v>
      </c>
      <c r="B327" s="60" t="s">
        <v>348</v>
      </c>
      <c r="C327" s="60"/>
      <c r="D327" s="60"/>
      <c r="E327" s="61">
        <v>1105868.554</v>
      </c>
      <c r="F327" s="62">
        <v>1427939.034</v>
      </c>
      <c r="G327" s="108">
        <v>179778.22700000001</v>
      </c>
      <c r="H327" s="104">
        <v>1423419.811</v>
      </c>
      <c r="I327" s="104">
        <v>128.715</v>
      </c>
      <c r="J327" s="63">
        <v>99.683999999999997</v>
      </c>
      <c r="K327" s="64"/>
      <c r="L327" s="64"/>
      <c r="M327" s="64"/>
    </row>
    <row r="328" spans="1:15" s="65" customFormat="1" ht="36" x14ac:dyDescent="0.2">
      <c r="A328" s="59" t="s">
        <v>349</v>
      </c>
      <c r="B328" s="60" t="s">
        <v>350</v>
      </c>
      <c r="C328" s="60"/>
      <c r="D328" s="60"/>
      <c r="E328" s="61">
        <v>1105868.554</v>
      </c>
      <c r="F328" s="62">
        <v>1446537.473</v>
      </c>
      <c r="G328" s="108">
        <v>179823.91899999999</v>
      </c>
      <c r="H328" s="104">
        <v>1442018.25</v>
      </c>
      <c r="I328" s="104">
        <v>130.39699999999999</v>
      </c>
      <c r="J328" s="63">
        <v>99.688000000000002</v>
      </c>
      <c r="K328" s="64">
        <f>G329+G336+G364</f>
        <v>178985.34599999999</v>
      </c>
      <c r="L328" s="64"/>
      <c r="M328" s="64"/>
      <c r="N328" s="64"/>
    </row>
    <row r="329" spans="1:15" s="65" customFormat="1" ht="24" x14ac:dyDescent="0.2">
      <c r="A329" s="59" t="s">
        <v>351</v>
      </c>
      <c r="B329" s="60" t="s">
        <v>574</v>
      </c>
      <c r="C329" s="60"/>
      <c r="D329" s="60"/>
      <c r="E329" s="61">
        <v>12996.4</v>
      </c>
      <c r="F329" s="62">
        <v>139570.70000000001</v>
      </c>
      <c r="G329" s="108">
        <v>3253.2</v>
      </c>
      <c r="H329" s="104">
        <v>139570.70000000001</v>
      </c>
      <c r="I329" s="104">
        <v>1073.9179999999999</v>
      </c>
      <c r="J329" s="63">
        <v>100</v>
      </c>
      <c r="K329" s="64"/>
      <c r="L329" s="64">
        <f>F329+F336+F364</f>
        <v>1435376.442</v>
      </c>
      <c r="M329" s="64">
        <f t="shared" ref="M329" si="2">G329+G336+G364</f>
        <v>178985.34599999999</v>
      </c>
      <c r="N329" s="64">
        <f>H329+H336+H364</f>
        <v>1430968.2940000002</v>
      </c>
      <c r="O329" s="157">
        <f>N329/L329</f>
        <v>0.99692892549228573</v>
      </c>
    </row>
    <row r="330" spans="1:15" ht="22.5" x14ac:dyDescent="0.2">
      <c r="A330" s="11" t="s">
        <v>741</v>
      </c>
      <c r="B330" s="12" t="s">
        <v>742</v>
      </c>
      <c r="C330" s="12"/>
      <c r="D330" s="12"/>
      <c r="E330" s="13">
        <v>12996.4</v>
      </c>
      <c r="F330" s="13">
        <v>12996.4</v>
      </c>
      <c r="G330" s="13">
        <v>1083.4000000000001</v>
      </c>
      <c r="H330" s="13">
        <v>12996.4</v>
      </c>
      <c r="I330" s="13">
        <v>100</v>
      </c>
      <c r="J330" s="13">
        <v>100</v>
      </c>
    </row>
    <row r="331" spans="1:15" ht="22.5" x14ac:dyDescent="0.2">
      <c r="A331" s="11" t="s">
        <v>512</v>
      </c>
      <c r="B331" s="12" t="s">
        <v>510</v>
      </c>
      <c r="C331" s="12"/>
      <c r="D331" s="12"/>
      <c r="E331" s="13">
        <v>12996.4</v>
      </c>
      <c r="F331" s="13">
        <v>12996.4</v>
      </c>
      <c r="G331" s="13">
        <v>1083.4000000000001</v>
      </c>
      <c r="H331" s="13">
        <v>12996.4</v>
      </c>
      <c r="I331" s="13">
        <v>100</v>
      </c>
      <c r="J331" s="13">
        <v>100</v>
      </c>
    </row>
    <row r="332" spans="1:15" ht="22.5" x14ac:dyDescent="0.2">
      <c r="A332" s="15" t="s">
        <v>512</v>
      </c>
      <c r="B332" s="16" t="s">
        <v>511</v>
      </c>
      <c r="C332" s="16" t="s">
        <v>23</v>
      </c>
      <c r="D332" s="16" t="s">
        <v>24</v>
      </c>
      <c r="E332" s="17">
        <v>12996.4</v>
      </c>
      <c r="F332" s="17">
        <v>12996.4</v>
      </c>
      <c r="G332" s="17">
        <v>1083.4000000000001</v>
      </c>
      <c r="H332" s="17">
        <v>12996.4</v>
      </c>
      <c r="I332" s="17">
        <v>100</v>
      </c>
      <c r="J332" s="17">
        <v>100</v>
      </c>
    </row>
    <row r="333" spans="1:15" ht="22.5" x14ac:dyDescent="0.2">
      <c r="A333" s="11" t="s">
        <v>352</v>
      </c>
      <c r="B333" s="12" t="s">
        <v>575</v>
      </c>
      <c r="C333" s="12"/>
      <c r="D333" s="12"/>
      <c r="E333" s="13"/>
      <c r="F333" s="13">
        <v>126574.3</v>
      </c>
      <c r="G333" s="13">
        <v>2169.8000000000002</v>
      </c>
      <c r="H333" s="13">
        <v>126574.3</v>
      </c>
      <c r="I333" s="13"/>
      <c r="J333" s="13">
        <v>100</v>
      </c>
    </row>
    <row r="334" spans="1:15" ht="33.75" x14ac:dyDescent="0.2">
      <c r="A334" s="11" t="s">
        <v>353</v>
      </c>
      <c r="B334" s="12" t="s">
        <v>483</v>
      </c>
      <c r="C334" s="12"/>
      <c r="D334" s="12"/>
      <c r="E334" s="13"/>
      <c r="F334" s="13">
        <v>126574.3</v>
      </c>
      <c r="G334" s="13">
        <v>2169.8000000000002</v>
      </c>
      <c r="H334" s="13">
        <v>126574.3</v>
      </c>
      <c r="I334" s="13"/>
      <c r="J334" s="13">
        <v>100</v>
      </c>
    </row>
    <row r="335" spans="1:15" ht="33.75" x14ac:dyDescent="0.2">
      <c r="A335" s="15" t="s">
        <v>353</v>
      </c>
      <c r="B335" s="16" t="s">
        <v>484</v>
      </c>
      <c r="C335" s="16" t="s">
        <v>23</v>
      </c>
      <c r="D335" s="16" t="s">
        <v>24</v>
      </c>
      <c r="E335" s="17"/>
      <c r="F335" s="17">
        <v>126574.3</v>
      </c>
      <c r="G335" s="17">
        <v>2169.8000000000002</v>
      </c>
      <c r="H335" s="17">
        <v>126574.3</v>
      </c>
      <c r="I335" s="17"/>
      <c r="J335" s="17">
        <v>100</v>
      </c>
    </row>
    <row r="336" spans="1:15" s="65" customFormat="1" ht="36" x14ac:dyDescent="0.2">
      <c r="A336" s="59" t="s">
        <v>354</v>
      </c>
      <c r="B336" s="60" t="s">
        <v>576</v>
      </c>
      <c r="C336" s="60"/>
      <c r="D336" s="60"/>
      <c r="E336" s="61">
        <v>137140.1</v>
      </c>
      <c r="F336" s="62">
        <v>182230.242</v>
      </c>
      <c r="G336" s="108">
        <v>26693.895</v>
      </c>
      <c r="H336" s="104">
        <v>181588.663</v>
      </c>
      <c r="I336" s="104">
        <v>132.411</v>
      </c>
      <c r="J336" s="63">
        <v>99.647999999999996</v>
      </c>
      <c r="K336" s="64">
        <f>G336-G359</f>
        <v>16836.620000000003</v>
      </c>
      <c r="L336" s="64">
        <f>H336-H357-H361-H359</f>
        <v>41170.762999999992</v>
      </c>
    </row>
    <row r="337" spans="1:11" ht="33.75" x14ac:dyDescent="0.2">
      <c r="A337" s="11" t="s">
        <v>355</v>
      </c>
      <c r="B337" s="12" t="s">
        <v>577</v>
      </c>
      <c r="C337" s="12"/>
      <c r="D337" s="12"/>
      <c r="E337" s="13">
        <v>75000</v>
      </c>
      <c r="F337" s="13">
        <v>3199.6</v>
      </c>
      <c r="G337" s="13">
        <v>3199.6</v>
      </c>
      <c r="H337" s="13">
        <v>3199.6</v>
      </c>
      <c r="I337" s="13">
        <v>4.266</v>
      </c>
      <c r="J337" s="13">
        <v>100</v>
      </c>
    </row>
    <row r="338" spans="1:11" ht="33.75" x14ac:dyDescent="0.2">
      <c r="A338" s="11" t="s">
        <v>578</v>
      </c>
      <c r="B338" s="12" t="s">
        <v>480</v>
      </c>
      <c r="C338" s="12"/>
      <c r="D338" s="12"/>
      <c r="E338" s="13">
        <v>75000</v>
      </c>
      <c r="F338" s="13">
        <v>3199.6</v>
      </c>
      <c r="G338" s="13">
        <v>3199.6</v>
      </c>
      <c r="H338" s="13">
        <v>3199.6</v>
      </c>
      <c r="I338" s="13">
        <v>4.266</v>
      </c>
      <c r="J338" s="13">
        <v>100</v>
      </c>
    </row>
    <row r="339" spans="1:11" ht="33.75" x14ac:dyDescent="0.2">
      <c r="A339" s="15" t="s">
        <v>578</v>
      </c>
      <c r="B339" s="16" t="s">
        <v>866</v>
      </c>
      <c r="C339" s="16" t="s">
        <v>23</v>
      </c>
      <c r="D339" s="16" t="s">
        <v>24</v>
      </c>
      <c r="E339" s="17"/>
      <c r="F339" s="17">
        <v>3199.6</v>
      </c>
      <c r="G339" s="17">
        <v>3199.6</v>
      </c>
      <c r="H339" s="17">
        <v>3199.6</v>
      </c>
      <c r="I339" s="17"/>
      <c r="J339" s="17">
        <v>100</v>
      </c>
    </row>
    <row r="340" spans="1:11" ht="33.75" x14ac:dyDescent="0.2">
      <c r="A340" s="15" t="s">
        <v>578</v>
      </c>
      <c r="B340" s="16" t="s">
        <v>481</v>
      </c>
      <c r="C340" s="16" t="s">
        <v>23</v>
      </c>
      <c r="D340" s="16" t="s">
        <v>24</v>
      </c>
      <c r="E340" s="17">
        <v>75000</v>
      </c>
      <c r="F340" s="17"/>
      <c r="G340" s="17"/>
      <c r="H340" s="17"/>
      <c r="I340" s="17"/>
      <c r="J340" s="17"/>
    </row>
    <row r="341" spans="1:11" ht="22.5" x14ac:dyDescent="0.2">
      <c r="A341" s="11" t="s">
        <v>743</v>
      </c>
      <c r="B341" s="12" t="s">
        <v>744</v>
      </c>
      <c r="C341" s="12"/>
      <c r="D341" s="12"/>
      <c r="E341" s="13"/>
      <c r="F341" s="13">
        <v>2822.9760000000001</v>
      </c>
      <c r="G341" s="13">
        <v>45.402999999999999</v>
      </c>
      <c r="H341" s="13">
        <v>2819.8110000000001</v>
      </c>
      <c r="I341" s="13"/>
      <c r="J341" s="13">
        <v>99.888000000000005</v>
      </c>
    </row>
    <row r="342" spans="1:11" ht="33.75" x14ac:dyDescent="0.2">
      <c r="A342" s="11" t="s">
        <v>745</v>
      </c>
      <c r="B342" s="12" t="s">
        <v>746</v>
      </c>
      <c r="C342" s="12"/>
      <c r="D342" s="12"/>
      <c r="E342" s="13"/>
      <c r="F342" s="13">
        <v>2822.9760000000001</v>
      </c>
      <c r="G342" s="13">
        <v>45.402999999999999</v>
      </c>
      <c r="H342" s="13">
        <v>2819.8110000000001</v>
      </c>
      <c r="I342" s="13"/>
      <c r="J342" s="13">
        <v>99.888000000000005</v>
      </c>
    </row>
    <row r="343" spans="1:11" ht="33.75" x14ac:dyDescent="0.2">
      <c r="A343" s="15" t="s">
        <v>745</v>
      </c>
      <c r="B343" s="16" t="s">
        <v>747</v>
      </c>
      <c r="C343" s="16" t="s">
        <v>23</v>
      </c>
      <c r="D343" s="16" t="s">
        <v>24</v>
      </c>
      <c r="E343" s="17"/>
      <c r="F343" s="17">
        <v>2822.9760000000001</v>
      </c>
      <c r="G343" s="17">
        <v>45.402999999999999</v>
      </c>
      <c r="H343" s="17">
        <v>2819.8110000000001</v>
      </c>
      <c r="I343" s="17"/>
      <c r="J343" s="17">
        <v>99.888000000000005</v>
      </c>
      <c r="K343" s="67">
        <f>F343-H343</f>
        <v>3.1649999999999636</v>
      </c>
    </row>
    <row r="344" spans="1:11" ht="22.5" x14ac:dyDescent="0.2">
      <c r="A344" s="11" t="s">
        <v>579</v>
      </c>
      <c r="B344" s="12" t="s">
        <v>580</v>
      </c>
      <c r="C344" s="12"/>
      <c r="D344" s="12"/>
      <c r="E344" s="13"/>
      <c r="F344" s="13">
        <v>82.3</v>
      </c>
      <c r="G344" s="13"/>
      <c r="H344" s="13">
        <v>82.3</v>
      </c>
      <c r="I344" s="13"/>
      <c r="J344" s="13">
        <v>100</v>
      </c>
    </row>
    <row r="345" spans="1:11" ht="22.5" x14ac:dyDescent="0.2">
      <c r="A345" s="11" t="s">
        <v>507</v>
      </c>
      <c r="B345" s="12" t="s">
        <v>508</v>
      </c>
      <c r="C345" s="12"/>
      <c r="D345" s="12"/>
      <c r="E345" s="13"/>
      <c r="F345" s="13">
        <v>82.3</v>
      </c>
      <c r="G345" s="13"/>
      <c r="H345" s="13">
        <v>82.3</v>
      </c>
      <c r="I345" s="13"/>
      <c r="J345" s="13">
        <v>100</v>
      </c>
    </row>
    <row r="346" spans="1:11" ht="22.5" x14ac:dyDescent="0.2">
      <c r="A346" s="15" t="s">
        <v>507</v>
      </c>
      <c r="B346" s="16" t="s">
        <v>509</v>
      </c>
      <c r="C346" s="16" t="s">
        <v>23</v>
      </c>
      <c r="D346" s="16" t="s">
        <v>24</v>
      </c>
      <c r="E346" s="17"/>
      <c r="F346" s="17">
        <v>82.3</v>
      </c>
      <c r="G346" s="17"/>
      <c r="H346" s="17">
        <v>82.3</v>
      </c>
      <c r="I346" s="17"/>
      <c r="J346" s="17">
        <v>100</v>
      </c>
    </row>
    <row r="347" spans="1:11" ht="67.5" x14ac:dyDescent="0.2">
      <c r="A347" s="11" t="s">
        <v>581</v>
      </c>
      <c r="B347" s="12" t="s">
        <v>582</v>
      </c>
      <c r="C347" s="12"/>
      <c r="D347" s="12"/>
      <c r="E347" s="13">
        <v>751.9</v>
      </c>
      <c r="F347" s="13"/>
      <c r="G347" s="13"/>
      <c r="H347" s="13"/>
      <c r="I347" s="13"/>
      <c r="J347" s="13"/>
    </row>
    <row r="348" spans="1:11" ht="67.5" x14ac:dyDescent="0.2">
      <c r="A348" s="11" t="s">
        <v>485</v>
      </c>
      <c r="B348" s="12" t="s">
        <v>486</v>
      </c>
      <c r="C348" s="12"/>
      <c r="D348" s="12"/>
      <c r="E348" s="13">
        <v>751.9</v>
      </c>
      <c r="F348" s="13"/>
      <c r="G348" s="13"/>
      <c r="H348" s="13"/>
      <c r="I348" s="13"/>
      <c r="J348" s="13"/>
    </row>
    <row r="349" spans="1:11" ht="67.5" x14ac:dyDescent="0.2">
      <c r="A349" s="15" t="s">
        <v>485</v>
      </c>
      <c r="B349" s="16" t="s">
        <v>487</v>
      </c>
      <c r="C349" s="16" t="s">
        <v>23</v>
      </c>
      <c r="D349" s="16" t="s">
        <v>24</v>
      </c>
      <c r="E349" s="17">
        <v>751.9</v>
      </c>
      <c r="F349" s="17"/>
      <c r="G349" s="17"/>
      <c r="H349" s="17"/>
      <c r="I349" s="17"/>
      <c r="J349" s="17"/>
    </row>
    <row r="350" spans="1:11" x14ac:dyDescent="0.2">
      <c r="A350" s="11" t="s">
        <v>356</v>
      </c>
      <c r="B350" s="12" t="s">
        <v>583</v>
      </c>
      <c r="C350" s="12"/>
      <c r="D350" s="12"/>
      <c r="E350" s="13">
        <v>61388.2</v>
      </c>
      <c r="F350" s="13">
        <v>176125.36600000001</v>
      </c>
      <c r="G350" s="13">
        <v>23448.891</v>
      </c>
      <c r="H350" s="13">
        <v>175486.95300000001</v>
      </c>
      <c r="I350" s="13">
        <v>285.86399999999998</v>
      </c>
      <c r="J350" s="13">
        <v>99.638000000000005</v>
      </c>
    </row>
    <row r="351" spans="1:11" ht="22.5" x14ac:dyDescent="0.2">
      <c r="A351" s="11" t="s">
        <v>357</v>
      </c>
      <c r="B351" s="12" t="s">
        <v>488</v>
      </c>
      <c r="C351" s="12"/>
      <c r="D351" s="12"/>
      <c r="E351" s="13">
        <v>61388.2</v>
      </c>
      <c r="F351" s="13">
        <v>176125.36600000001</v>
      </c>
      <c r="G351" s="13">
        <v>23448.891</v>
      </c>
      <c r="H351" s="13">
        <v>175486.95300000001</v>
      </c>
      <c r="I351" s="13">
        <v>285.86399999999998</v>
      </c>
      <c r="J351" s="13">
        <v>99.638000000000005</v>
      </c>
    </row>
    <row r="352" spans="1:11" s="195" customFormat="1" x14ac:dyDescent="0.2">
      <c r="A352" s="218" t="s">
        <v>357</v>
      </c>
      <c r="B352" s="216" t="s">
        <v>489</v>
      </c>
      <c r="C352" s="216" t="s">
        <v>584</v>
      </c>
      <c r="D352" s="216" t="s">
        <v>24</v>
      </c>
      <c r="E352" s="217"/>
      <c r="F352" s="217">
        <v>47.497999999999998</v>
      </c>
      <c r="G352" s="217"/>
      <c r="H352" s="217">
        <v>47.497999999999998</v>
      </c>
      <c r="I352" s="217"/>
      <c r="J352" s="217">
        <v>100</v>
      </c>
      <c r="K352" s="219">
        <f t="shared" ref="K352:K354" si="3">F352-H352</f>
        <v>0</v>
      </c>
    </row>
    <row r="353" spans="1:11" s="195" customFormat="1" x14ac:dyDescent="0.2">
      <c r="A353" s="218" t="s">
        <v>357</v>
      </c>
      <c r="B353" s="216" t="s">
        <v>489</v>
      </c>
      <c r="C353" s="216" t="s">
        <v>585</v>
      </c>
      <c r="D353" s="216" t="s">
        <v>24</v>
      </c>
      <c r="E353" s="217"/>
      <c r="F353" s="217">
        <v>500</v>
      </c>
      <c r="G353" s="217"/>
      <c r="H353" s="217">
        <v>500</v>
      </c>
      <c r="I353" s="217"/>
      <c r="J353" s="217">
        <v>100</v>
      </c>
      <c r="K353" s="219">
        <f t="shared" si="3"/>
        <v>0</v>
      </c>
    </row>
    <row r="354" spans="1:11" s="195" customFormat="1" x14ac:dyDescent="0.2">
      <c r="A354" s="218" t="s">
        <v>357</v>
      </c>
      <c r="B354" s="216" t="s">
        <v>489</v>
      </c>
      <c r="C354" s="216" t="s">
        <v>748</v>
      </c>
      <c r="D354" s="216" t="s">
        <v>24</v>
      </c>
      <c r="E354" s="217"/>
      <c r="F354" s="217">
        <v>751.9</v>
      </c>
      <c r="G354" s="217"/>
      <c r="H354" s="217">
        <v>751.9</v>
      </c>
      <c r="I354" s="217"/>
      <c r="J354" s="217">
        <v>100</v>
      </c>
      <c r="K354" s="219">
        <f t="shared" si="3"/>
        <v>0</v>
      </c>
    </row>
    <row r="355" spans="1:11" s="225" customFormat="1" x14ac:dyDescent="0.2">
      <c r="A355" s="171" t="s">
        <v>357</v>
      </c>
      <c r="B355" s="168" t="s">
        <v>490</v>
      </c>
      <c r="C355" s="168" t="s">
        <v>358</v>
      </c>
      <c r="D355" s="168" t="s">
        <v>24</v>
      </c>
      <c r="E355" s="169">
        <v>336.5</v>
      </c>
      <c r="F355" s="169">
        <v>313.7</v>
      </c>
      <c r="G355" s="169">
        <v>15.33</v>
      </c>
      <c r="H355" s="169">
        <v>112.61799999999999</v>
      </c>
      <c r="I355" s="169">
        <v>33.468000000000004</v>
      </c>
      <c r="J355" s="169">
        <v>35.9</v>
      </c>
      <c r="K355" s="224">
        <f>F355-H355</f>
        <v>201.08199999999999</v>
      </c>
    </row>
    <row r="356" spans="1:11" s="225" customFormat="1" x14ac:dyDescent="0.2">
      <c r="A356" s="171" t="s">
        <v>357</v>
      </c>
      <c r="B356" s="168" t="s">
        <v>490</v>
      </c>
      <c r="C356" s="168" t="s">
        <v>749</v>
      </c>
      <c r="D356" s="168" t="s">
        <v>24</v>
      </c>
      <c r="E356" s="169"/>
      <c r="F356" s="169">
        <v>1770.7</v>
      </c>
      <c r="G356" s="169">
        <v>1770.7</v>
      </c>
      <c r="H356" s="169">
        <v>1770.7</v>
      </c>
      <c r="I356" s="169"/>
      <c r="J356" s="169">
        <v>100</v>
      </c>
      <c r="K356" s="224">
        <f t="shared" ref="K356:K363" si="4">F356-H356</f>
        <v>0</v>
      </c>
    </row>
    <row r="357" spans="1:11" s="230" customFormat="1" x14ac:dyDescent="0.2">
      <c r="A357" s="226" t="s">
        <v>357</v>
      </c>
      <c r="B357" s="227" t="s">
        <v>491</v>
      </c>
      <c r="C357" s="227" t="s">
        <v>867</v>
      </c>
      <c r="D357" s="227" t="s">
        <v>24</v>
      </c>
      <c r="E357" s="228"/>
      <c r="F357" s="228">
        <v>53176.1</v>
      </c>
      <c r="G357" s="228"/>
      <c r="H357" s="228">
        <v>53176.1</v>
      </c>
      <c r="I357" s="228"/>
      <c r="J357" s="228">
        <v>100</v>
      </c>
      <c r="K357" s="229">
        <f t="shared" si="4"/>
        <v>0</v>
      </c>
    </row>
    <row r="358" spans="1:11" s="230" customFormat="1" x14ac:dyDescent="0.2">
      <c r="A358" s="226" t="s">
        <v>357</v>
      </c>
      <c r="B358" s="227" t="s">
        <v>491</v>
      </c>
      <c r="C358" s="227" t="s">
        <v>360</v>
      </c>
      <c r="D358" s="227" t="s">
        <v>24</v>
      </c>
      <c r="E358" s="228">
        <v>4914.1000000000004</v>
      </c>
      <c r="F358" s="228">
        <v>5084.1000000000004</v>
      </c>
      <c r="G358" s="228"/>
      <c r="H358" s="228">
        <v>5084.1000000000004</v>
      </c>
      <c r="I358" s="228">
        <v>103.459</v>
      </c>
      <c r="J358" s="228">
        <v>100</v>
      </c>
      <c r="K358" s="229">
        <f t="shared" si="4"/>
        <v>0</v>
      </c>
    </row>
    <row r="359" spans="1:11" s="230" customFormat="1" x14ac:dyDescent="0.2">
      <c r="A359" s="226" t="s">
        <v>357</v>
      </c>
      <c r="B359" s="227" t="s">
        <v>491</v>
      </c>
      <c r="C359" s="227" t="s">
        <v>573</v>
      </c>
      <c r="D359" s="227" t="s">
        <v>24</v>
      </c>
      <c r="E359" s="228">
        <v>56137.599999999999</v>
      </c>
      <c r="F359" s="228">
        <v>81741.8</v>
      </c>
      <c r="G359" s="228">
        <v>9857.2749999999996</v>
      </c>
      <c r="H359" s="228">
        <v>81741.8</v>
      </c>
      <c r="I359" s="228">
        <v>145.61000000000001</v>
      </c>
      <c r="J359" s="228">
        <v>100</v>
      </c>
      <c r="K359" s="229">
        <f t="shared" si="4"/>
        <v>0</v>
      </c>
    </row>
    <row r="360" spans="1:11" s="230" customFormat="1" x14ac:dyDescent="0.2">
      <c r="A360" s="226" t="s">
        <v>357</v>
      </c>
      <c r="B360" s="227" t="s">
        <v>491</v>
      </c>
      <c r="C360" s="227" t="s">
        <v>586</v>
      </c>
      <c r="D360" s="227" t="s">
        <v>24</v>
      </c>
      <c r="E360" s="228"/>
      <c r="F360" s="228">
        <v>15000</v>
      </c>
      <c r="G360" s="228"/>
      <c r="H360" s="228">
        <v>14996.65</v>
      </c>
      <c r="I360" s="228"/>
      <c r="J360" s="228">
        <v>99.977999999999994</v>
      </c>
      <c r="K360" s="229">
        <f t="shared" si="4"/>
        <v>3.3500000000003638</v>
      </c>
    </row>
    <row r="361" spans="1:11" s="230" customFormat="1" x14ac:dyDescent="0.2">
      <c r="A361" s="226" t="s">
        <v>357</v>
      </c>
      <c r="B361" s="227" t="s">
        <v>491</v>
      </c>
      <c r="C361" s="227" t="s">
        <v>750</v>
      </c>
      <c r="D361" s="227" t="s">
        <v>24</v>
      </c>
      <c r="E361" s="228"/>
      <c r="F361" s="228">
        <v>5500</v>
      </c>
      <c r="G361" s="228"/>
      <c r="H361" s="228">
        <v>5500</v>
      </c>
      <c r="I361" s="228"/>
      <c r="J361" s="228">
        <v>100</v>
      </c>
      <c r="K361" s="229">
        <f t="shared" si="4"/>
        <v>0</v>
      </c>
    </row>
    <row r="362" spans="1:11" x14ac:dyDescent="0.2">
      <c r="A362" s="15" t="s">
        <v>357</v>
      </c>
      <c r="B362" s="16" t="s">
        <v>751</v>
      </c>
      <c r="C362" s="16" t="s">
        <v>752</v>
      </c>
      <c r="D362" s="16" t="s">
        <v>24</v>
      </c>
      <c r="E362" s="17"/>
      <c r="F362" s="17">
        <v>11720</v>
      </c>
      <c r="G362" s="17">
        <v>11567.249</v>
      </c>
      <c r="H362" s="17">
        <v>11567.249</v>
      </c>
      <c r="I362" s="17"/>
      <c r="J362" s="17">
        <v>98.697000000000003</v>
      </c>
      <c r="K362" s="67">
        <f t="shared" si="4"/>
        <v>152.7510000000002</v>
      </c>
    </row>
    <row r="363" spans="1:11" x14ac:dyDescent="0.2">
      <c r="A363" s="15" t="s">
        <v>357</v>
      </c>
      <c r="B363" s="16" t="s">
        <v>492</v>
      </c>
      <c r="C363" s="16" t="s">
        <v>359</v>
      </c>
      <c r="D363" s="16" t="s">
        <v>24</v>
      </c>
      <c r="E363" s="17"/>
      <c r="F363" s="17">
        <v>519.56700000000001</v>
      </c>
      <c r="G363" s="17">
        <v>238.33799999999999</v>
      </c>
      <c r="H363" s="17">
        <v>238.33799999999999</v>
      </c>
      <c r="I363" s="17"/>
      <c r="J363" s="17">
        <v>45.872</v>
      </c>
      <c r="K363" s="67">
        <f t="shared" si="4"/>
        <v>281.22900000000004</v>
      </c>
    </row>
    <row r="364" spans="1:11" s="65" customFormat="1" ht="24" x14ac:dyDescent="0.2">
      <c r="A364" s="59" t="s">
        <v>361</v>
      </c>
      <c r="B364" s="60" t="s">
        <v>587</v>
      </c>
      <c r="C364" s="60"/>
      <c r="D364" s="60"/>
      <c r="E364" s="61">
        <v>944847.1</v>
      </c>
      <c r="F364" s="62">
        <v>1113575.5</v>
      </c>
      <c r="G364" s="108">
        <v>149038.25099999999</v>
      </c>
      <c r="H364" s="104">
        <v>1109808.9310000001</v>
      </c>
      <c r="I364" s="104">
        <v>117.459</v>
      </c>
      <c r="J364" s="63">
        <v>99.662000000000006</v>
      </c>
      <c r="K364" s="64"/>
    </row>
    <row r="365" spans="1:11" ht="33.75" x14ac:dyDescent="0.2">
      <c r="A365" s="11" t="s">
        <v>362</v>
      </c>
      <c r="B365" s="12" t="s">
        <v>588</v>
      </c>
      <c r="C365" s="12"/>
      <c r="D365" s="12"/>
      <c r="E365" s="13">
        <v>75855.899999999994</v>
      </c>
      <c r="F365" s="13">
        <v>69033.7</v>
      </c>
      <c r="G365" s="13">
        <v>6406.0360000000001</v>
      </c>
      <c r="H365" s="13">
        <v>69033.7</v>
      </c>
      <c r="I365" s="13">
        <v>91.006</v>
      </c>
      <c r="J365" s="13">
        <v>100</v>
      </c>
    </row>
    <row r="366" spans="1:11" ht="33.75" x14ac:dyDescent="0.2">
      <c r="A366" s="11" t="s">
        <v>363</v>
      </c>
      <c r="B366" s="12" t="s">
        <v>493</v>
      </c>
      <c r="C366" s="12"/>
      <c r="D366" s="12"/>
      <c r="E366" s="13">
        <v>75855.899999999994</v>
      </c>
      <c r="F366" s="13">
        <v>69033.7</v>
      </c>
      <c r="G366" s="13">
        <v>6406.0360000000001</v>
      </c>
      <c r="H366" s="13">
        <v>69033.7</v>
      </c>
      <c r="I366" s="13">
        <v>91.006</v>
      </c>
      <c r="J366" s="13">
        <v>100</v>
      </c>
    </row>
    <row r="367" spans="1:11" ht="33.75" x14ac:dyDescent="0.2">
      <c r="A367" s="15" t="s">
        <v>363</v>
      </c>
      <c r="B367" s="16" t="s">
        <v>494</v>
      </c>
      <c r="C367" s="16" t="s">
        <v>23</v>
      </c>
      <c r="D367" s="16" t="s">
        <v>24</v>
      </c>
      <c r="E367" s="17">
        <v>75855.899999999994</v>
      </c>
      <c r="F367" s="17">
        <v>69033.7</v>
      </c>
      <c r="G367" s="17">
        <v>6406.0360000000001</v>
      </c>
      <c r="H367" s="17">
        <v>69033.7</v>
      </c>
      <c r="I367" s="17">
        <v>91.006</v>
      </c>
      <c r="J367" s="17">
        <v>100</v>
      </c>
    </row>
    <row r="368" spans="1:11" ht="33.75" x14ac:dyDescent="0.2">
      <c r="A368" s="11" t="s">
        <v>364</v>
      </c>
      <c r="B368" s="12" t="s">
        <v>589</v>
      </c>
      <c r="C368" s="12"/>
      <c r="D368" s="12"/>
      <c r="E368" s="13">
        <v>37598.9</v>
      </c>
      <c r="F368" s="13">
        <v>35280.5</v>
      </c>
      <c r="G368" s="13">
        <v>6310.0150000000003</v>
      </c>
      <c r="H368" s="13">
        <v>31513.931</v>
      </c>
      <c r="I368" s="13">
        <v>83.816000000000003</v>
      </c>
      <c r="J368" s="13">
        <v>89.323999999999998</v>
      </c>
    </row>
    <row r="369" spans="1:11" ht="33.75" x14ac:dyDescent="0.2">
      <c r="A369" s="11" t="s">
        <v>365</v>
      </c>
      <c r="B369" s="12" t="s">
        <v>495</v>
      </c>
      <c r="C369" s="12"/>
      <c r="D369" s="12"/>
      <c r="E369" s="13">
        <v>37598.9</v>
      </c>
      <c r="F369" s="13">
        <v>35280.5</v>
      </c>
      <c r="G369" s="13">
        <v>6310.0150000000003</v>
      </c>
      <c r="H369" s="13">
        <v>31513.931</v>
      </c>
      <c r="I369" s="13">
        <v>83.816000000000003</v>
      </c>
      <c r="J369" s="13">
        <v>89.323999999999998</v>
      </c>
      <c r="K369" s="67">
        <f>H369-H370</f>
        <v>7609.8310000000019</v>
      </c>
    </row>
    <row r="370" spans="1:11" ht="33.75" x14ac:dyDescent="0.2">
      <c r="A370" s="15" t="s">
        <v>365</v>
      </c>
      <c r="B370" s="16" t="s">
        <v>496</v>
      </c>
      <c r="C370" s="16" t="s">
        <v>366</v>
      </c>
      <c r="D370" s="16" t="s">
        <v>24</v>
      </c>
      <c r="E370" s="17">
        <v>30343</v>
      </c>
      <c r="F370" s="17">
        <v>27406</v>
      </c>
      <c r="G370" s="17">
        <v>5564.8</v>
      </c>
      <c r="H370" s="17">
        <v>23904.1</v>
      </c>
      <c r="I370" s="17">
        <v>78.78</v>
      </c>
      <c r="J370" s="17">
        <v>87.221999999999994</v>
      </c>
      <c r="K370" s="67">
        <f>F370-H370</f>
        <v>3501.9000000000015</v>
      </c>
    </row>
    <row r="371" spans="1:11" ht="33.75" x14ac:dyDescent="0.2">
      <c r="A371" s="15" t="s">
        <v>365</v>
      </c>
      <c r="B371" s="16" t="s">
        <v>497</v>
      </c>
      <c r="C371" s="16" t="s">
        <v>367</v>
      </c>
      <c r="D371" s="16" t="s">
        <v>24</v>
      </c>
      <c r="E371" s="17">
        <v>3250.6</v>
      </c>
      <c r="F371" s="17">
        <v>3669.6</v>
      </c>
      <c r="G371" s="17">
        <v>425.84899999999999</v>
      </c>
      <c r="H371" s="17">
        <v>3669.6</v>
      </c>
      <c r="I371" s="17">
        <v>112.89</v>
      </c>
      <c r="J371" s="17">
        <v>100</v>
      </c>
      <c r="K371" s="67">
        <f t="shared" ref="K371:K377" si="5">F371-H371</f>
        <v>0</v>
      </c>
    </row>
    <row r="372" spans="1:11" ht="33.75" x14ac:dyDescent="0.2">
      <c r="A372" s="15" t="s">
        <v>365</v>
      </c>
      <c r="B372" s="16" t="s">
        <v>497</v>
      </c>
      <c r="C372" s="16" t="s">
        <v>368</v>
      </c>
      <c r="D372" s="16" t="s">
        <v>24</v>
      </c>
      <c r="E372" s="17">
        <v>605.20000000000005</v>
      </c>
      <c r="F372" s="17">
        <v>629.6</v>
      </c>
      <c r="G372" s="17">
        <v>52.466000000000001</v>
      </c>
      <c r="H372" s="17">
        <v>629.6</v>
      </c>
      <c r="I372" s="17">
        <v>104.032</v>
      </c>
      <c r="J372" s="17">
        <v>100</v>
      </c>
      <c r="K372" s="67">
        <f t="shared" si="5"/>
        <v>0</v>
      </c>
    </row>
    <row r="373" spans="1:11" ht="33.75" x14ac:dyDescent="0.2">
      <c r="A373" s="15" t="s">
        <v>365</v>
      </c>
      <c r="B373" s="16" t="s">
        <v>497</v>
      </c>
      <c r="C373" s="16" t="s">
        <v>369</v>
      </c>
      <c r="D373" s="16" t="s">
        <v>24</v>
      </c>
      <c r="E373" s="17">
        <v>1829</v>
      </c>
      <c r="F373" s="17">
        <v>1902.7</v>
      </c>
      <c r="G373" s="17">
        <v>206.3</v>
      </c>
      <c r="H373" s="17">
        <v>1902.7</v>
      </c>
      <c r="I373" s="17">
        <v>104.03</v>
      </c>
      <c r="J373" s="17">
        <v>100</v>
      </c>
      <c r="K373" s="67">
        <f t="shared" si="5"/>
        <v>0</v>
      </c>
    </row>
    <row r="374" spans="1:11" ht="33.75" x14ac:dyDescent="0.2">
      <c r="A374" s="15" t="s">
        <v>365</v>
      </c>
      <c r="B374" s="16" t="s">
        <v>497</v>
      </c>
      <c r="C374" s="16" t="s">
        <v>370</v>
      </c>
      <c r="D374" s="16" t="s">
        <v>24</v>
      </c>
      <c r="E374" s="17">
        <v>1210.4000000000001</v>
      </c>
      <c r="F374" s="17">
        <v>1259.2</v>
      </c>
      <c r="G374" s="17">
        <v>50.6</v>
      </c>
      <c r="H374" s="17">
        <v>994.53099999999995</v>
      </c>
      <c r="I374" s="17">
        <v>82.165999999999997</v>
      </c>
      <c r="J374" s="17">
        <v>78.980999999999995</v>
      </c>
      <c r="K374" s="67">
        <f t="shared" si="5"/>
        <v>264.6690000000001</v>
      </c>
    </row>
    <row r="375" spans="1:11" ht="33.75" x14ac:dyDescent="0.2">
      <c r="A375" s="15" t="s">
        <v>365</v>
      </c>
      <c r="B375" s="16" t="s">
        <v>497</v>
      </c>
      <c r="C375" s="16" t="s">
        <v>371</v>
      </c>
      <c r="D375" s="16" t="s">
        <v>24</v>
      </c>
      <c r="E375" s="17">
        <v>360</v>
      </c>
      <c r="F375" s="17">
        <v>360</v>
      </c>
      <c r="G375" s="17">
        <v>10</v>
      </c>
      <c r="H375" s="17">
        <v>360</v>
      </c>
      <c r="I375" s="17">
        <v>100</v>
      </c>
      <c r="J375" s="17">
        <v>100</v>
      </c>
      <c r="K375" s="67">
        <f t="shared" si="5"/>
        <v>0</v>
      </c>
    </row>
    <row r="376" spans="1:11" ht="33.75" x14ac:dyDescent="0.2">
      <c r="A376" s="15" t="s">
        <v>365</v>
      </c>
      <c r="B376" s="16" t="s">
        <v>497</v>
      </c>
      <c r="C376" s="16" t="s">
        <v>372</v>
      </c>
      <c r="D376" s="16" t="s">
        <v>24</v>
      </c>
      <c r="E376" s="17">
        <v>0.7</v>
      </c>
      <c r="F376" s="17">
        <v>0.7</v>
      </c>
      <c r="G376" s="17"/>
      <c r="H376" s="17">
        <v>0.7</v>
      </c>
      <c r="I376" s="17">
        <v>100</v>
      </c>
      <c r="J376" s="17">
        <v>100</v>
      </c>
      <c r="K376" s="67">
        <f t="shared" si="5"/>
        <v>0</v>
      </c>
    </row>
    <row r="377" spans="1:11" ht="33.75" x14ac:dyDescent="0.2">
      <c r="A377" s="15" t="s">
        <v>365</v>
      </c>
      <c r="B377" s="16" t="s">
        <v>497</v>
      </c>
      <c r="C377" s="16" t="s">
        <v>868</v>
      </c>
      <c r="D377" s="16" t="s">
        <v>24</v>
      </c>
      <c r="E377" s="17"/>
      <c r="F377" s="17">
        <v>52.7</v>
      </c>
      <c r="G377" s="17"/>
      <c r="H377" s="17">
        <v>52.7</v>
      </c>
      <c r="I377" s="17"/>
      <c r="J377" s="17">
        <v>100</v>
      </c>
      <c r="K377" s="67">
        <f t="shared" si="5"/>
        <v>0</v>
      </c>
    </row>
    <row r="378" spans="1:11" ht="45" x14ac:dyDescent="0.2">
      <c r="A378" s="11" t="s">
        <v>753</v>
      </c>
      <c r="B378" s="12" t="s">
        <v>754</v>
      </c>
      <c r="C378" s="12"/>
      <c r="D378" s="12"/>
      <c r="E378" s="13">
        <v>234.3</v>
      </c>
      <c r="F378" s="13">
        <v>234.3</v>
      </c>
      <c r="G378" s="13"/>
      <c r="H378" s="13">
        <v>234.3</v>
      </c>
      <c r="I378" s="13">
        <v>100</v>
      </c>
      <c r="J378" s="13">
        <v>100</v>
      </c>
    </row>
    <row r="379" spans="1:11" ht="56.25" x14ac:dyDescent="0.2">
      <c r="A379" s="11" t="s">
        <v>515</v>
      </c>
      <c r="B379" s="12" t="s">
        <v>513</v>
      </c>
      <c r="C379" s="12"/>
      <c r="D379" s="12"/>
      <c r="E379" s="13">
        <v>234.3</v>
      </c>
      <c r="F379" s="13">
        <v>234.3</v>
      </c>
      <c r="G379" s="13"/>
      <c r="H379" s="13">
        <v>234.3</v>
      </c>
      <c r="I379" s="13">
        <v>100</v>
      </c>
      <c r="J379" s="13">
        <v>100</v>
      </c>
    </row>
    <row r="380" spans="1:11" ht="56.25" x14ac:dyDescent="0.2">
      <c r="A380" s="15" t="s">
        <v>515</v>
      </c>
      <c r="B380" s="16" t="s">
        <v>514</v>
      </c>
      <c r="C380" s="16" t="s">
        <v>23</v>
      </c>
      <c r="D380" s="16" t="s">
        <v>24</v>
      </c>
      <c r="E380" s="17">
        <v>234.3</v>
      </c>
      <c r="F380" s="17">
        <v>234.3</v>
      </c>
      <c r="G380" s="17"/>
      <c r="H380" s="17">
        <v>234.3</v>
      </c>
      <c r="I380" s="17">
        <v>100</v>
      </c>
      <c r="J380" s="17">
        <v>100</v>
      </c>
    </row>
    <row r="381" spans="1:11" x14ac:dyDescent="0.2">
      <c r="A381" s="11" t="s">
        <v>374</v>
      </c>
      <c r="B381" s="12" t="s">
        <v>590</v>
      </c>
      <c r="C381" s="12"/>
      <c r="D381" s="12"/>
      <c r="E381" s="13">
        <v>831158</v>
      </c>
      <c r="F381" s="13">
        <v>1009027</v>
      </c>
      <c r="G381" s="13">
        <v>136322.20000000001</v>
      </c>
      <c r="H381" s="13">
        <v>1009027</v>
      </c>
      <c r="I381" s="13">
        <v>121.4</v>
      </c>
      <c r="J381" s="13">
        <v>100</v>
      </c>
    </row>
    <row r="382" spans="1:11" ht="22.5" x14ac:dyDescent="0.2">
      <c r="A382" s="11" t="s">
        <v>375</v>
      </c>
      <c r="B382" s="12" t="s">
        <v>498</v>
      </c>
      <c r="C382" s="12"/>
      <c r="D382" s="12"/>
      <c r="E382" s="13">
        <v>831158</v>
      </c>
      <c r="F382" s="13">
        <v>1009027</v>
      </c>
      <c r="G382" s="13">
        <v>136322.20000000001</v>
      </c>
      <c r="H382" s="13">
        <v>1009027</v>
      </c>
      <c r="I382" s="13">
        <v>121.4</v>
      </c>
      <c r="J382" s="13">
        <v>100</v>
      </c>
    </row>
    <row r="383" spans="1:11" x14ac:dyDescent="0.2">
      <c r="A383" s="15" t="s">
        <v>375</v>
      </c>
      <c r="B383" s="16" t="s">
        <v>499</v>
      </c>
      <c r="C383" s="16" t="s">
        <v>373</v>
      </c>
      <c r="D383" s="16" t="s">
        <v>24</v>
      </c>
      <c r="E383" s="17">
        <v>625898</v>
      </c>
      <c r="F383" s="17">
        <v>718612.1</v>
      </c>
      <c r="G383" s="17">
        <v>91590.2</v>
      </c>
      <c r="H383" s="17">
        <v>718612.1</v>
      </c>
      <c r="I383" s="17">
        <v>114.813</v>
      </c>
      <c r="J383" s="17">
        <v>100</v>
      </c>
    </row>
    <row r="384" spans="1:11" x14ac:dyDescent="0.2">
      <c r="A384" s="15" t="s">
        <v>375</v>
      </c>
      <c r="B384" s="16" t="s">
        <v>499</v>
      </c>
      <c r="C384" s="16" t="s">
        <v>376</v>
      </c>
      <c r="D384" s="16" t="s">
        <v>24</v>
      </c>
      <c r="E384" s="17">
        <v>205260</v>
      </c>
      <c r="F384" s="17">
        <v>290414.90000000002</v>
      </c>
      <c r="G384" s="17">
        <v>44732</v>
      </c>
      <c r="H384" s="17">
        <v>290414.90000000002</v>
      </c>
      <c r="I384" s="17">
        <v>141.48599999999999</v>
      </c>
      <c r="J384" s="17">
        <v>100</v>
      </c>
    </row>
    <row r="385" spans="1:11" s="65" customFormat="1" ht="24" x14ac:dyDescent="0.2">
      <c r="A385" s="59" t="s">
        <v>377</v>
      </c>
      <c r="B385" s="60" t="s">
        <v>591</v>
      </c>
      <c r="C385" s="60"/>
      <c r="D385" s="60"/>
      <c r="E385" s="61">
        <v>10884.954</v>
      </c>
      <c r="F385" s="62">
        <v>11161.031000000001</v>
      </c>
      <c r="G385" s="108">
        <v>838.57399999999996</v>
      </c>
      <c r="H385" s="104">
        <v>11049.956</v>
      </c>
      <c r="I385" s="104">
        <v>101.51600000000001</v>
      </c>
      <c r="J385" s="63">
        <v>99.004999999999995</v>
      </c>
      <c r="K385" s="157">
        <f>H385/F385</f>
        <v>0.99004796241494175</v>
      </c>
    </row>
    <row r="386" spans="1:11" ht="56.25" x14ac:dyDescent="0.2">
      <c r="A386" s="11" t="s">
        <v>378</v>
      </c>
      <c r="B386" s="12" t="s">
        <v>592</v>
      </c>
      <c r="C386" s="12"/>
      <c r="D386" s="12"/>
      <c r="E386" s="13">
        <v>10884.954</v>
      </c>
      <c r="F386" s="13">
        <v>11161.031000000001</v>
      </c>
      <c r="G386" s="13">
        <v>838.57399999999996</v>
      </c>
      <c r="H386" s="13">
        <v>11049.956</v>
      </c>
      <c r="I386" s="13">
        <v>101.51600000000001</v>
      </c>
      <c r="J386" s="13">
        <v>99.004999999999995</v>
      </c>
    </row>
    <row r="387" spans="1:11" ht="56.25" x14ac:dyDescent="0.2">
      <c r="A387" s="11" t="s">
        <v>379</v>
      </c>
      <c r="B387" s="12" t="s">
        <v>500</v>
      </c>
      <c r="C387" s="12"/>
      <c r="D387" s="12"/>
      <c r="E387" s="13">
        <v>10884.954</v>
      </c>
      <c r="F387" s="13">
        <v>11161.031000000001</v>
      </c>
      <c r="G387" s="13">
        <v>838.57399999999996</v>
      </c>
      <c r="H387" s="13">
        <v>11049.956</v>
      </c>
      <c r="I387" s="13">
        <v>101.51600000000001</v>
      </c>
      <c r="J387" s="13">
        <v>99.004999999999995</v>
      </c>
    </row>
    <row r="388" spans="1:11" s="230" customFormat="1" ht="56.25" x14ac:dyDescent="0.2">
      <c r="A388" s="226" t="s">
        <v>379</v>
      </c>
      <c r="B388" s="227" t="s">
        <v>501</v>
      </c>
      <c r="C388" s="227" t="s">
        <v>755</v>
      </c>
      <c r="D388" s="227" t="s">
        <v>24</v>
      </c>
      <c r="E388" s="228">
        <v>908.01199999999994</v>
      </c>
      <c r="F388" s="228">
        <v>908.01199999999994</v>
      </c>
      <c r="G388" s="228">
        <v>65.230999999999995</v>
      </c>
      <c r="H388" s="228">
        <v>908.01199999999994</v>
      </c>
      <c r="I388" s="228">
        <v>100</v>
      </c>
      <c r="J388" s="228">
        <v>100</v>
      </c>
    </row>
    <row r="389" spans="1:11" s="230" customFormat="1" ht="56.25" x14ac:dyDescent="0.2">
      <c r="A389" s="226" t="s">
        <v>379</v>
      </c>
      <c r="B389" s="227" t="s">
        <v>501</v>
      </c>
      <c r="C389" s="227" t="s">
        <v>756</v>
      </c>
      <c r="D389" s="227" t="s">
        <v>24</v>
      </c>
      <c r="E389" s="228">
        <v>207.52600000000001</v>
      </c>
      <c r="F389" s="228">
        <v>3.2490000000000001</v>
      </c>
      <c r="G389" s="228"/>
      <c r="H389" s="228">
        <v>3.2490000000000001</v>
      </c>
      <c r="I389" s="228">
        <v>1.5649999999999999</v>
      </c>
      <c r="J389" s="228">
        <v>100</v>
      </c>
    </row>
    <row r="390" spans="1:11" s="230" customFormat="1" ht="56.25" x14ac:dyDescent="0.2">
      <c r="A390" s="226" t="s">
        <v>379</v>
      </c>
      <c r="B390" s="227" t="s">
        <v>501</v>
      </c>
      <c r="C390" s="227" t="s">
        <v>381</v>
      </c>
      <c r="D390" s="227" t="s">
        <v>24</v>
      </c>
      <c r="E390" s="228">
        <v>616.34799999999996</v>
      </c>
      <c r="F390" s="228">
        <v>550.30999999999995</v>
      </c>
      <c r="G390" s="228">
        <v>37.220999999999997</v>
      </c>
      <c r="H390" s="228">
        <v>550.30999999999995</v>
      </c>
      <c r="I390" s="228">
        <v>89.286000000000001</v>
      </c>
      <c r="J390" s="228">
        <v>100</v>
      </c>
    </row>
    <row r="391" spans="1:11" ht="56.25" x14ac:dyDescent="0.2">
      <c r="A391" s="15" t="s">
        <v>379</v>
      </c>
      <c r="B391" s="16" t="s">
        <v>502</v>
      </c>
      <c r="C391" s="16" t="s">
        <v>755</v>
      </c>
      <c r="D391" s="16" t="s">
        <v>24</v>
      </c>
      <c r="E391" s="17">
        <v>8265.3970000000008</v>
      </c>
      <c r="F391" s="17">
        <v>7755.3010000000004</v>
      </c>
      <c r="G391" s="17">
        <v>643.779</v>
      </c>
      <c r="H391" s="17">
        <v>7755.3010000000004</v>
      </c>
      <c r="I391" s="17">
        <v>93.828999999999994</v>
      </c>
      <c r="J391" s="17">
        <v>100</v>
      </c>
    </row>
    <row r="392" spans="1:11" ht="56.25" x14ac:dyDescent="0.2">
      <c r="A392" s="15" t="s">
        <v>379</v>
      </c>
      <c r="B392" s="16" t="s">
        <v>757</v>
      </c>
      <c r="C392" s="16" t="s">
        <v>756</v>
      </c>
      <c r="D392" s="16" t="s">
        <v>24</v>
      </c>
      <c r="E392" s="17"/>
      <c r="F392" s="17">
        <v>223.84399999999999</v>
      </c>
      <c r="G392" s="17">
        <v>15.215</v>
      </c>
      <c r="H392" s="17">
        <v>198.34800000000001</v>
      </c>
      <c r="I392" s="17"/>
      <c r="J392" s="17">
        <v>88.61</v>
      </c>
    </row>
    <row r="393" spans="1:11" ht="56.25" x14ac:dyDescent="0.2">
      <c r="A393" s="15" t="s">
        <v>379</v>
      </c>
      <c r="B393" s="16" t="s">
        <v>503</v>
      </c>
      <c r="C393" s="16" t="s">
        <v>755</v>
      </c>
      <c r="D393" s="16" t="s">
        <v>24</v>
      </c>
      <c r="E393" s="17">
        <v>887.67100000000005</v>
      </c>
      <c r="F393" s="17">
        <v>1281.201</v>
      </c>
      <c r="G393" s="17"/>
      <c r="H393" s="17">
        <v>1229.4100000000001</v>
      </c>
      <c r="I393" s="17">
        <v>138.49799999999999</v>
      </c>
      <c r="J393" s="17">
        <v>95.957999999999998</v>
      </c>
    </row>
    <row r="394" spans="1:11" ht="56.25" x14ac:dyDescent="0.2">
      <c r="A394" s="15" t="s">
        <v>379</v>
      </c>
      <c r="B394" s="16" t="s">
        <v>504</v>
      </c>
      <c r="C394" s="16" t="s">
        <v>380</v>
      </c>
      <c r="D394" s="16" t="s">
        <v>24</v>
      </c>
      <c r="E394" s="17"/>
      <c r="F394" s="17">
        <v>439.11399999999998</v>
      </c>
      <c r="G394" s="17">
        <v>77.128</v>
      </c>
      <c r="H394" s="17">
        <v>405.32600000000002</v>
      </c>
      <c r="I394" s="17"/>
      <c r="J394" s="17">
        <v>92.305000000000007</v>
      </c>
    </row>
    <row r="395" spans="1:11" s="65" customFormat="1" ht="24" x14ac:dyDescent="0.2">
      <c r="A395" s="59" t="s">
        <v>382</v>
      </c>
      <c r="B395" s="60" t="s">
        <v>383</v>
      </c>
      <c r="C395" s="60"/>
      <c r="D395" s="60"/>
      <c r="E395" s="61"/>
      <c r="F395" s="62">
        <v>7.9</v>
      </c>
      <c r="G395" s="108">
        <v>-0.28799999999999998</v>
      </c>
      <c r="H395" s="104">
        <v>7.9</v>
      </c>
      <c r="I395" s="104"/>
      <c r="J395" s="63">
        <v>100</v>
      </c>
      <c r="K395" s="64"/>
    </row>
    <row r="396" spans="1:11" ht="22.5" x14ac:dyDescent="0.2">
      <c r="A396" s="11" t="s">
        <v>384</v>
      </c>
      <c r="B396" s="12" t="s">
        <v>385</v>
      </c>
      <c r="C396" s="12"/>
      <c r="D396" s="12"/>
      <c r="E396" s="13"/>
      <c r="F396" s="13">
        <v>7.9</v>
      </c>
      <c r="G396" s="13">
        <v>-0.28799999999999998</v>
      </c>
      <c r="H396" s="13">
        <v>7.9</v>
      </c>
      <c r="I396" s="13"/>
      <c r="J396" s="13">
        <v>100</v>
      </c>
    </row>
    <row r="397" spans="1:11" ht="45" x14ac:dyDescent="0.2">
      <c r="A397" s="11" t="s">
        <v>386</v>
      </c>
      <c r="B397" s="12" t="s">
        <v>387</v>
      </c>
      <c r="C397" s="12"/>
      <c r="D397" s="12"/>
      <c r="E397" s="13"/>
      <c r="F397" s="13">
        <v>7.9</v>
      </c>
      <c r="G397" s="13">
        <v>-0.28799999999999998</v>
      </c>
      <c r="H397" s="13">
        <v>7.9</v>
      </c>
      <c r="I397" s="13"/>
      <c r="J397" s="13">
        <v>100</v>
      </c>
    </row>
    <row r="398" spans="1:11" ht="33.75" x14ac:dyDescent="0.2">
      <c r="A398" s="15" t="s">
        <v>386</v>
      </c>
      <c r="B398" s="16" t="s">
        <v>388</v>
      </c>
      <c r="C398" s="16" t="s">
        <v>23</v>
      </c>
      <c r="D398" s="16" t="s">
        <v>24</v>
      </c>
      <c r="E398" s="17"/>
      <c r="F398" s="17">
        <v>7.9</v>
      </c>
      <c r="G398" s="17">
        <v>-0.28799999999999998</v>
      </c>
      <c r="H398" s="17">
        <v>7.9</v>
      </c>
      <c r="I398" s="17"/>
      <c r="J398" s="17">
        <v>100</v>
      </c>
    </row>
    <row r="399" spans="1:11" s="65" customFormat="1" ht="48" x14ac:dyDescent="0.2">
      <c r="A399" s="59" t="s">
        <v>389</v>
      </c>
      <c r="B399" s="60" t="s">
        <v>390</v>
      </c>
      <c r="C399" s="60"/>
      <c r="D399" s="60"/>
      <c r="E399" s="61"/>
      <c r="F399" s="62">
        <v>-18606.339</v>
      </c>
      <c r="G399" s="108">
        <v>-45.402999999999999</v>
      </c>
      <c r="H399" s="104">
        <v>-18606.339</v>
      </c>
      <c r="I399" s="104"/>
      <c r="J399" s="63">
        <v>100</v>
      </c>
      <c r="K399" s="64"/>
    </row>
    <row r="400" spans="1:11" ht="45" x14ac:dyDescent="0.2">
      <c r="A400" s="11" t="s">
        <v>391</v>
      </c>
      <c r="B400" s="12" t="s">
        <v>593</v>
      </c>
      <c r="C400" s="12"/>
      <c r="D400" s="12"/>
      <c r="E400" s="13"/>
      <c r="F400" s="13">
        <v>-18606.339</v>
      </c>
      <c r="G400" s="13">
        <v>-45.402999999999999</v>
      </c>
      <c r="H400" s="13">
        <v>-18606.339</v>
      </c>
      <c r="I400" s="13"/>
      <c r="J400" s="13">
        <v>100</v>
      </c>
    </row>
    <row r="401" spans="1:11" ht="45" x14ac:dyDescent="0.2">
      <c r="A401" s="11" t="s">
        <v>505</v>
      </c>
      <c r="B401" s="12" t="s">
        <v>594</v>
      </c>
      <c r="C401" s="12"/>
      <c r="D401" s="12"/>
      <c r="E401" s="13"/>
      <c r="F401" s="13">
        <v>-18606.339</v>
      </c>
      <c r="G401" s="13">
        <v>-45.402999999999999</v>
      </c>
      <c r="H401" s="13">
        <v>-18606.339</v>
      </c>
      <c r="I401" s="13"/>
      <c r="J401" s="13">
        <v>100</v>
      </c>
    </row>
    <row r="402" spans="1:11" ht="45" x14ac:dyDescent="0.2">
      <c r="A402" s="15" t="s">
        <v>505</v>
      </c>
      <c r="B402" s="16" t="s">
        <v>869</v>
      </c>
      <c r="C402" s="16" t="s">
        <v>23</v>
      </c>
      <c r="D402" s="16" t="s">
        <v>24</v>
      </c>
      <c r="E402" s="17"/>
      <c r="F402" s="17">
        <v>-45.402999999999999</v>
      </c>
      <c r="G402" s="17">
        <v>-45.402999999999999</v>
      </c>
      <c r="H402" s="17">
        <v>-45.402999999999999</v>
      </c>
      <c r="I402" s="17"/>
      <c r="J402" s="17">
        <v>100</v>
      </c>
    </row>
    <row r="403" spans="1:11" ht="45" x14ac:dyDescent="0.2">
      <c r="A403" s="15" t="s">
        <v>505</v>
      </c>
      <c r="B403" s="16" t="s">
        <v>595</v>
      </c>
      <c r="C403" s="16" t="s">
        <v>23</v>
      </c>
      <c r="D403" s="16" t="s">
        <v>24</v>
      </c>
      <c r="E403" s="17"/>
      <c r="F403" s="17">
        <v>-17904.728999999999</v>
      </c>
      <c r="G403" s="17"/>
      <c r="H403" s="17">
        <v>-17904.728999999999</v>
      </c>
      <c r="I403" s="17"/>
      <c r="J403" s="17">
        <v>100</v>
      </c>
    </row>
    <row r="404" spans="1:11" ht="45" x14ac:dyDescent="0.2">
      <c r="A404" s="15" t="s">
        <v>505</v>
      </c>
      <c r="B404" s="16" t="s">
        <v>596</v>
      </c>
      <c r="C404" s="16" t="s">
        <v>23</v>
      </c>
      <c r="D404" s="16" t="s">
        <v>24</v>
      </c>
      <c r="E404" s="17"/>
      <c r="F404" s="17">
        <v>-395.63400000000001</v>
      </c>
      <c r="G404" s="17"/>
      <c r="H404" s="17">
        <v>-395.63400000000001</v>
      </c>
      <c r="I404" s="17"/>
      <c r="J404" s="17">
        <v>100</v>
      </c>
    </row>
    <row r="405" spans="1:11" ht="45" x14ac:dyDescent="0.2">
      <c r="A405" s="15" t="s">
        <v>505</v>
      </c>
      <c r="B405" s="16" t="s">
        <v>506</v>
      </c>
      <c r="C405" s="16" t="s">
        <v>23</v>
      </c>
      <c r="D405" s="16" t="s">
        <v>24</v>
      </c>
      <c r="E405" s="17"/>
      <c r="F405" s="17">
        <v>-159.86199999999999</v>
      </c>
      <c r="G405" s="17"/>
      <c r="H405" s="17">
        <v>-159.86199999999999</v>
      </c>
      <c r="I405" s="17"/>
      <c r="J405" s="17">
        <v>100</v>
      </c>
    </row>
    <row r="406" spans="1:11" ht="45" x14ac:dyDescent="0.2">
      <c r="A406" s="15" t="s">
        <v>505</v>
      </c>
      <c r="B406" s="16" t="s">
        <v>597</v>
      </c>
      <c r="C406" s="16" t="s">
        <v>23</v>
      </c>
      <c r="D406" s="16" t="s">
        <v>24</v>
      </c>
      <c r="E406" s="17"/>
      <c r="F406" s="17">
        <v>-87.281000000000006</v>
      </c>
      <c r="G406" s="17"/>
      <c r="H406" s="17">
        <v>-87.281000000000006</v>
      </c>
      <c r="I406" s="17"/>
      <c r="J406" s="17">
        <v>100</v>
      </c>
    </row>
    <row r="407" spans="1:11" ht="45" x14ac:dyDescent="0.2">
      <c r="A407" s="15" t="s">
        <v>505</v>
      </c>
      <c r="B407" s="16" t="s">
        <v>598</v>
      </c>
      <c r="C407" s="16" t="s">
        <v>23</v>
      </c>
      <c r="D407" s="16" t="s">
        <v>24</v>
      </c>
      <c r="E407" s="17"/>
      <c r="F407" s="17">
        <v>-13.43</v>
      </c>
      <c r="G407" s="17"/>
      <c r="H407" s="17">
        <v>-13.43</v>
      </c>
      <c r="I407" s="17"/>
      <c r="J407" s="17">
        <v>100</v>
      </c>
    </row>
    <row r="408" spans="1:11" s="65" customFormat="1" ht="27.75" customHeight="1" x14ac:dyDescent="0.2">
      <c r="A408" s="59" t="s">
        <v>392</v>
      </c>
      <c r="B408" s="60"/>
      <c r="C408" s="60"/>
      <c r="D408" s="60"/>
      <c r="E408" s="61">
        <v>1618204.101</v>
      </c>
      <c r="F408" s="62">
        <v>1951688.986</v>
      </c>
      <c r="G408" s="108">
        <v>240603.93599999999</v>
      </c>
      <c r="H408" s="104">
        <v>1954759.781</v>
      </c>
      <c r="I408" s="104">
        <v>120.798</v>
      </c>
      <c r="J408" s="63">
        <v>100.157</v>
      </c>
      <c r="K408" s="64"/>
    </row>
    <row r="411" spans="1:11" ht="12.75" customHeight="1" x14ac:dyDescent="0.2">
      <c r="H411" s="67">
        <f>H408-H364-H336-H329</f>
        <v>523791.48699999991</v>
      </c>
    </row>
    <row r="413" spans="1:11" ht="12.75" customHeight="1" x14ac:dyDescent="0.2">
      <c r="H413" s="67">
        <f>H408-H364</f>
        <v>844950.84999999986</v>
      </c>
    </row>
  </sheetData>
  <mergeCells count="12">
    <mergeCell ref="G9:G10"/>
    <mergeCell ref="H9:H10"/>
    <mergeCell ref="A2:H2"/>
    <mergeCell ref="A4:J4"/>
    <mergeCell ref="A5:J5"/>
    <mergeCell ref="B7:J7"/>
    <mergeCell ref="A9:A10"/>
    <mergeCell ref="B9:B10"/>
    <mergeCell ref="C9:C10"/>
    <mergeCell ref="D9:D10"/>
    <mergeCell ref="E9:E10"/>
    <mergeCell ref="F9:F10"/>
  </mergeCells>
  <pageMargins left="0.59055118110236227" right="0.59055118110236227" top="0.59055118110236227" bottom="0.59055118110236227" header="0" footer="0"/>
  <pageSetup paperSize="9" scale="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2"/>
  <sheetViews>
    <sheetView showGridLines="0" workbookViewId="0">
      <pane ySplit="12" topLeftCell="A250" activePane="bottomLeft" state="frozen"/>
      <selection pane="bottomLeft" activeCell="B224" sqref="B224"/>
    </sheetView>
  </sheetViews>
  <sheetFormatPr defaultRowHeight="12.75" customHeight="1" x14ac:dyDescent="0.2"/>
  <cols>
    <col min="1" max="1" width="44.7109375" customWidth="1"/>
    <col min="2" max="2" width="21.140625" customWidth="1"/>
    <col min="3" max="4" width="12.140625" customWidth="1"/>
    <col min="5" max="10" width="16.7109375" customWidth="1"/>
    <col min="11" max="11" width="10.140625" bestFit="1" customWidth="1"/>
    <col min="12" max="12" width="12.7109375" bestFit="1" customWidth="1"/>
    <col min="13" max="13" width="13.140625" customWidth="1"/>
  </cols>
  <sheetData>
    <row r="1" spans="1:12" ht="12.75" customHeight="1" x14ac:dyDescent="0.2">
      <c r="A1" s="1" t="s">
        <v>2</v>
      </c>
      <c r="B1" s="1"/>
      <c r="C1" s="1"/>
      <c r="D1" s="1"/>
      <c r="E1" s="1"/>
      <c r="F1" s="1"/>
      <c r="G1" s="1"/>
      <c r="H1" s="1"/>
      <c r="I1" s="158"/>
      <c r="J1" s="3"/>
    </row>
    <row r="2" spans="1:12" ht="12.75" customHeight="1" x14ac:dyDescent="0.2">
      <c r="A2" s="287" t="s">
        <v>0</v>
      </c>
      <c r="B2" s="287"/>
      <c r="C2" s="287"/>
      <c r="D2" s="287"/>
      <c r="E2" s="287"/>
      <c r="F2" s="287"/>
      <c r="G2" s="287"/>
      <c r="H2" s="287"/>
      <c r="I2" s="159" t="s">
        <v>3</v>
      </c>
      <c r="J2" s="5" t="s">
        <v>870</v>
      </c>
    </row>
    <row r="3" spans="1:12" ht="12.75" customHeight="1" x14ac:dyDescent="0.2">
      <c r="A3" s="6"/>
      <c r="B3" s="7"/>
      <c r="C3" s="7"/>
      <c r="D3" s="7"/>
      <c r="E3" s="7"/>
      <c r="F3" s="7"/>
      <c r="G3" s="7"/>
      <c r="H3" s="6"/>
      <c r="I3" s="8"/>
      <c r="J3" s="6"/>
    </row>
    <row r="4" spans="1:12" ht="16.5" customHeight="1" x14ac:dyDescent="0.25">
      <c r="A4" s="288" t="s">
        <v>1</v>
      </c>
      <c r="B4" s="288"/>
      <c r="C4" s="288"/>
      <c r="D4" s="288"/>
      <c r="E4" s="288"/>
      <c r="F4" s="288"/>
      <c r="G4" s="288"/>
      <c r="H4" s="288"/>
      <c r="I4" s="288"/>
      <c r="J4" s="288"/>
    </row>
    <row r="5" spans="1:12" ht="18" customHeight="1" x14ac:dyDescent="0.25">
      <c r="A5" s="288" t="s">
        <v>690</v>
      </c>
      <c r="B5" s="288"/>
      <c r="C5" s="288"/>
      <c r="D5" s="288"/>
      <c r="E5" s="288"/>
      <c r="F5" s="288"/>
      <c r="G5" s="288"/>
      <c r="H5" s="288"/>
      <c r="I5" s="288"/>
      <c r="J5" s="288"/>
    </row>
    <row r="6" spans="1:12" ht="12.75" customHeight="1" x14ac:dyDescent="0.2">
      <c r="A6" s="6"/>
      <c r="B6" s="7"/>
      <c r="C6" s="7"/>
      <c r="D6" s="7"/>
      <c r="E6" s="7"/>
      <c r="F6" s="7"/>
      <c r="G6" s="7"/>
      <c r="H6" s="6"/>
      <c r="I6" s="8"/>
      <c r="J6" s="6"/>
    </row>
    <row r="7" spans="1:12" x14ac:dyDescent="0.2">
      <c r="A7" s="9" t="s">
        <v>4</v>
      </c>
      <c r="B7" s="289" t="s">
        <v>5</v>
      </c>
      <c r="C7" s="289"/>
      <c r="D7" s="289"/>
      <c r="E7" s="289"/>
      <c r="F7" s="289"/>
      <c r="G7" s="289"/>
      <c r="H7" s="289"/>
      <c r="I7" s="289"/>
      <c r="J7" s="289"/>
    </row>
    <row r="8" spans="1:12" x14ac:dyDescent="0.2">
      <c r="A8" s="9" t="s">
        <v>691</v>
      </c>
      <c r="B8" s="289" t="s">
        <v>871</v>
      </c>
      <c r="C8" s="289"/>
      <c r="D8" s="289"/>
      <c r="E8" s="289"/>
      <c r="F8" s="289"/>
      <c r="G8" s="289"/>
      <c r="H8" s="289"/>
      <c r="I8" s="289"/>
      <c r="J8" s="289"/>
    </row>
    <row r="9" spans="1:12" x14ac:dyDescent="0.2">
      <c r="A9" s="9" t="s">
        <v>692</v>
      </c>
      <c r="B9" s="289" t="s">
        <v>872</v>
      </c>
      <c r="C9" s="289"/>
      <c r="D9" s="289"/>
      <c r="E9" s="289"/>
      <c r="F9" s="289"/>
      <c r="G9" s="289"/>
      <c r="H9" s="289"/>
      <c r="I9" s="289"/>
      <c r="J9" s="289"/>
    </row>
    <row r="10" spans="1:12" ht="12.75" customHeight="1" x14ac:dyDescent="0.2">
      <c r="A10" s="6"/>
      <c r="B10" s="7"/>
      <c r="C10" s="7"/>
      <c r="D10" s="7"/>
      <c r="E10" s="7"/>
      <c r="F10" s="7"/>
      <c r="G10" s="58">
        <f>G65-G66</f>
        <v>533.66300000000001</v>
      </c>
      <c r="H10" s="160">
        <f>H15-H44</f>
        <v>286054.35800000001</v>
      </c>
      <c r="I10" s="8" t="s">
        <v>518</v>
      </c>
      <c r="J10" s="6"/>
    </row>
    <row r="11" spans="1:12" ht="39.75" customHeight="1" x14ac:dyDescent="0.2">
      <c r="A11" s="286" t="s">
        <v>6</v>
      </c>
      <c r="B11" s="286" t="s">
        <v>7</v>
      </c>
      <c r="C11" s="286" t="s">
        <v>8</v>
      </c>
      <c r="D11" s="286" t="s">
        <v>9</v>
      </c>
      <c r="E11" s="286" t="s">
        <v>10</v>
      </c>
      <c r="F11" s="286" t="s">
        <v>11</v>
      </c>
      <c r="G11" s="286" t="s">
        <v>693</v>
      </c>
      <c r="H11" s="286" t="s">
        <v>873</v>
      </c>
      <c r="I11" s="10" t="s">
        <v>12</v>
      </c>
      <c r="J11" s="10" t="s">
        <v>14</v>
      </c>
    </row>
    <row r="12" spans="1:12" ht="13.35" customHeight="1" x14ac:dyDescent="0.2">
      <c r="A12" s="286"/>
      <c r="B12" s="286"/>
      <c r="C12" s="286"/>
      <c r="D12" s="286"/>
      <c r="E12" s="286"/>
      <c r="F12" s="286"/>
      <c r="G12" s="286"/>
      <c r="H12" s="286"/>
      <c r="I12" s="10" t="s">
        <v>13</v>
      </c>
      <c r="J12" s="10" t="s">
        <v>13</v>
      </c>
    </row>
    <row r="13" spans="1:12" ht="18" customHeight="1" x14ac:dyDescent="0.2">
      <c r="A13" s="161" t="s">
        <v>15</v>
      </c>
      <c r="B13" s="162" t="s">
        <v>16</v>
      </c>
      <c r="C13" s="162"/>
      <c r="D13" s="162"/>
      <c r="E13" s="66">
        <v>542434.255</v>
      </c>
      <c r="F13" s="66">
        <v>575448.46200000006</v>
      </c>
      <c r="G13" s="163">
        <v>44657.226000000002</v>
      </c>
      <c r="H13" s="66">
        <v>422949.56099999999</v>
      </c>
      <c r="I13" s="66">
        <v>77.972999999999999</v>
      </c>
      <c r="J13" s="66">
        <v>73.498999999999995</v>
      </c>
      <c r="K13" s="67"/>
      <c r="L13" s="67"/>
    </row>
    <row r="14" spans="1:12" ht="18" customHeight="1" x14ac:dyDescent="0.2">
      <c r="A14" s="161" t="s">
        <v>17</v>
      </c>
      <c r="B14" s="162" t="s">
        <v>18</v>
      </c>
      <c r="C14" s="162"/>
      <c r="D14" s="162"/>
      <c r="E14" s="66">
        <v>396092.3</v>
      </c>
      <c r="F14" s="66">
        <v>413092.9</v>
      </c>
      <c r="G14" s="163">
        <v>33053.374000000003</v>
      </c>
      <c r="H14" s="66">
        <v>292270.10399999999</v>
      </c>
      <c r="I14" s="66">
        <v>73.787999999999997</v>
      </c>
      <c r="J14" s="66">
        <v>70.751999999999995</v>
      </c>
    </row>
    <row r="15" spans="1:12" ht="18" customHeight="1" x14ac:dyDescent="0.2">
      <c r="A15" s="161" t="s">
        <v>19</v>
      </c>
      <c r="B15" s="162" t="s">
        <v>20</v>
      </c>
      <c r="C15" s="162"/>
      <c r="D15" s="162"/>
      <c r="E15" s="66">
        <v>396092.3</v>
      </c>
      <c r="F15" s="66">
        <v>413092.9</v>
      </c>
      <c r="G15" s="163">
        <v>33053.374000000003</v>
      </c>
      <c r="H15" s="66">
        <v>292270.10399999999</v>
      </c>
      <c r="I15" s="66">
        <v>73.787999999999997</v>
      </c>
      <c r="J15" s="66">
        <v>70.751999999999995</v>
      </c>
    </row>
    <row r="16" spans="1:12" ht="67.5" x14ac:dyDescent="0.2">
      <c r="A16" s="14" t="s">
        <v>874</v>
      </c>
      <c r="B16" s="12" t="s">
        <v>21</v>
      </c>
      <c r="C16" s="12"/>
      <c r="D16" s="12"/>
      <c r="E16" s="13">
        <v>384504.2</v>
      </c>
      <c r="F16" s="13">
        <v>401504.8</v>
      </c>
      <c r="G16" s="13">
        <v>32528.473999999998</v>
      </c>
      <c r="H16" s="13">
        <v>284296.951</v>
      </c>
      <c r="I16" s="13">
        <v>73.938999999999993</v>
      </c>
      <c r="J16" s="13">
        <v>70.808000000000007</v>
      </c>
    </row>
    <row r="17" spans="1:10" ht="67.5" x14ac:dyDescent="0.2">
      <c r="A17" s="18" t="s">
        <v>874</v>
      </c>
      <c r="B17" s="16" t="s">
        <v>22</v>
      </c>
      <c r="C17" s="16" t="s">
        <v>23</v>
      </c>
      <c r="D17" s="16" t="s">
        <v>24</v>
      </c>
      <c r="E17" s="17">
        <v>384504.2</v>
      </c>
      <c r="F17" s="17">
        <v>401504.8</v>
      </c>
      <c r="G17" s="17"/>
      <c r="H17" s="17"/>
      <c r="I17" s="17"/>
      <c r="J17" s="17"/>
    </row>
    <row r="18" spans="1:10" ht="101.25" x14ac:dyDescent="0.2">
      <c r="A18" s="14" t="s">
        <v>25</v>
      </c>
      <c r="B18" s="12" t="s">
        <v>26</v>
      </c>
      <c r="C18" s="12"/>
      <c r="D18" s="12"/>
      <c r="E18" s="13"/>
      <c r="F18" s="13"/>
      <c r="G18" s="13">
        <v>32471.223999999998</v>
      </c>
      <c r="H18" s="13">
        <v>283641.80499999999</v>
      </c>
      <c r="I18" s="13"/>
      <c r="J18" s="13"/>
    </row>
    <row r="19" spans="1:10" ht="90" x14ac:dyDescent="0.2">
      <c r="A19" s="18" t="s">
        <v>25</v>
      </c>
      <c r="B19" s="16" t="s">
        <v>27</v>
      </c>
      <c r="C19" s="16" t="s">
        <v>23</v>
      </c>
      <c r="D19" s="16" t="s">
        <v>24</v>
      </c>
      <c r="E19" s="17"/>
      <c r="F19" s="17"/>
      <c r="G19" s="17">
        <v>32471.223999999998</v>
      </c>
      <c r="H19" s="17">
        <v>283641.80499999999</v>
      </c>
      <c r="I19" s="17"/>
      <c r="J19" s="17"/>
    </row>
    <row r="20" spans="1:10" ht="78.75" x14ac:dyDescent="0.2">
      <c r="A20" s="14" t="s">
        <v>28</v>
      </c>
      <c r="B20" s="12" t="s">
        <v>29</v>
      </c>
      <c r="C20" s="12"/>
      <c r="D20" s="12"/>
      <c r="E20" s="13"/>
      <c r="F20" s="13"/>
      <c r="G20" s="13">
        <v>20.826000000000001</v>
      </c>
      <c r="H20" s="13">
        <v>360.45100000000002</v>
      </c>
      <c r="I20" s="13"/>
      <c r="J20" s="13"/>
    </row>
    <row r="21" spans="1:10" ht="67.5" x14ac:dyDescent="0.2">
      <c r="A21" s="18" t="s">
        <v>28</v>
      </c>
      <c r="B21" s="16" t="s">
        <v>30</v>
      </c>
      <c r="C21" s="16" t="s">
        <v>23</v>
      </c>
      <c r="D21" s="16" t="s">
        <v>24</v>
      </c>
      <c r="E21" s="17"/>
      <c r="F21" s="17"/>
      <c r="G21" s="17">
        <v>20.826000000000001</v>
      </c>
      <c r="H21" s="17">
        <v>360.45100000000002</v>
      </c>
      <c r="I21" s="17"/>
      <c r="J21" s="17"/>
    </row>
    <row r="22" spans="1:10" ht="90" x14ac:dyDescent="0.2">
      <c r="A22" s="14" t="s">
        <v>31</v>
      </c>
      <c r="B22" s="12" t="s">
        <v>32</v>
      </c>
      <c r="C22" s="12"/>
      <c r="D22" s="12"/>
      <c r="E22" s="13"/>
      <c r="F22" s="13"/>
      <c r="G22" s="13">
        <v>36.423999999999999</v>
      </c>
      <c r="H22" s="13">
        <v>294.69400000000002</v>
      </c>
      <c r="I22" s="13"/>
      <c r="J22" s="13"/>
    </row>
    <row r="23" spans="1:10" ht="90" x14ac:dyDescent="0.2">
      <c r="A23" s="18" t="s">
        <v>31</v>
      </c>
      <c r="B23" s="16" t="s">
        <v>33</v>
      </c>
      <c r="C23" s="16" t="s">
        <v>23</v>
      </c>
      <c r="D23" s="16" t="s">
        <v>24</v>
      </c>
      <c r="E23" s="17"/>
      <c r="F23" s="17"/>
      <c r="G23" s="17">
        <v>36.423999999999999</v>
      </c>
      <c r="H23" s="17">
        <v>294.69400000000002</v>
      </c>
      <c r="I23" s="17"/>
      <c r="J23" s="17"/>
    </row>
    <row r="24" spans="1:10" ht="78.75" x14ac:dyDescent="0.2">
      <c r="A24" s="14" t="s">
        <v>34</v>
      </c>
      <c r="B24" s="12" t="s">
        <v>35</v>
      </c>
      <c r="C24" s="12"/>
      <c r="D24" s="12"/>
      <c r="E24" s="13"/>
      <c r="F24" s="13"/>
      <c r="G24" s="13"/>
      <c r="H24" s="13"/>
      <c r="I24" s="13"/>
      <c r="J24" s="13"/>
    </row>
    <row r="25" spans="1:10" ht="67.5" x14ac:dyDescent="0.2">
      <c r="A25" s="18" t="s">
        <v>34</v>
      </c>
      <c r="B25" s="16" t="s">
        <v>36</v>
      </c>
      <c r="C25" s="16" t="s">
        <v>23</v>
      </c>
      <c r="D25" s="16" t="s">
        <v>24</v>
      </c>
      <c r="E25" s="17"/>
      <c r="F25" s="17"/>
      <c r="G25" s="17"/>
      <c r="H25" s="17"/>
      <c r="I25" s="17"/>
      <c r="J25" s="17"/>
    </row>
    <row r="26" spans="1:10" ht="101.25" x14ac:dyDescent="0.2">
      <c r="A26" s="14" t="s">
        <v>37</v>
      </c>
      <c r="B26" s="12" t="s">
        <v>38</v>
      </c>
      <c r="C26" s="12"/>
      <c r="D26" s="12"/>
      <c r="E26" s="13">
        <v>1555.1</v>
      </c>
      <c r="F26" s="13">
        <v>1555.1</v>
      </c>
      <c r="G26" s="13">
        <v>-2.2919999999999998</v>
      </c>
      <c r="H26" s="13">
        <v>1018.335</v>
      </c>
      <c r="I26" s="13">
        <v>65.483999999999995</v>
      </c>
      <c r="J26" s="13">
        <v>65.483999999999995</v>
      </c>
    </row>
    <row r="27" spans="1:10" ht="90" x14ac:dyDescent="0.2">
      <c r="A27" s="18" t="s">
        <v>37</v>
      </c>
      <c r="B27" s="16" t="s">
        <v>39</v>
      </c>
      <c r="C27" s="16" t="s">
        <v>23</v>
      </c>
      <c r="D27" s="16" t="s">
        <v>24</v>
      </c>
      <c r="E27" s="17">
        <v>1555.1</v>
      </c>
      <c r="F27" s="17">
        <v>1555.1</v>
      </c>
      <c r="G27" s="17"/>
      <c r="H27" s="17"/>
      <c r="I27" s="17"/>
      <c r="J27" s="17"/>
    </row>
    <row r="28" spans="1:10" ht="135" x14ac:dyDescent="0.2">
      <c r="A28" s="14" t="s">
        <v>40</v>
      </c>
      <c r="B28" s="12" t="s">
        <v>41</v>
      </c>
      <c r="C28" s="12"/>
      <c r="D28" s="12"/>
      <c r="E28" s="13"/>
      <c r="F28" s="13"/>
      <c r="G28" s="13">
        <v>-2.7629999999999999</v>
      </c>
      <c r="H28" s="13">
        <v>975.94500000000005</v>
      </c>
      <c r="I28" s="13"/>
      <c r="J28" s="13"/>
    </row>
    <row r="29" spans="1:10" ht="123.75" x14ac:dyDescent="0.2">
      <c r="A29" s="18" t="s">
        <v>40</v>
      </c>
      <c r="B29" s="16" t="s">
        <v>42</v>
      </c>
      <c r="C29" s="16" t="s">
        <v>23</v>
      </c>
      <c r="D29" s="16" t="s">
        <v>24</v>
      </c>
      <c r="E29" s="17"/>
      <c r="F29" s="17"/>
      <c r="G29" s="17">
        <v>-2.7629999999999999</v>
      </c>
      <c r="H29" s="17">
        <v>975.94500000000005</v>
      </c>
      <c r="I29" s="17"/>
      <c r="J29" s="17"/>
    </row>
    <row r="30" spans="1:10" ht="112.5" x14ac:dyDescent="0.2">
      <c r="A30" s="14" t="s">
        <v>43</v>
      </c>
      <c r="B30" s="12" t="s">
        <v>44</v>
      </c>
      <c r="C30" s="12"/>
      <c r="D30" s="12"/>
      <c r="E30" s="13"/>
      <c r="F30" s="13"/>
      <c r="G30" s="13">
        <v>0.223</v>
      </c>
      <c r="H30" s="13">
        <v>38.234999999999999</v>
      </c>
      <c r="I30" s="13"/>
      <c r="J30" s="13"/>
    </row>
    <row r="31" spans="1:10" ht="101.25" x14ac:dyDescent="0.2">
      <c r="A31" s="18" t="s">
        <v>43</v>
      </c>
      <c r="B31" s="16" t="s">
        <v>45</v>
      </c>
      <c r="C31" s="16" t="s">
        <v>23</v>
      </c>
      <c r="D31" s="16" t="s">
        <v>24</v>
      </c>
      <c r="E31" s="17"/>
      <c r="F31" s="17"/>
      <c r="G31" s="17">
        <v>0.223</v>
      </c>
      <c r="H31" s="17">
        <v>38.234999999999999</v>
      </c>
      <c r="I31" s="17"/>
      <c r="J31" s="17"/>
    </row>
    <row r="32" spans="1:10" ht="123.75" x14ac:dyDescent="0.2">
      <c r="A32" s="14" t="s">
        <v>46</v>
      </c>
      <c r="B32" s="12" t="s">
        <v>47</v>
      </c>
      <c r="C32" s="12"/>
      <c r="D32" s="12"/>
      <c r="E32" s="13"/>
      <c r="F32" s="13"/>
      <c r="G32" s="13">
        <v>0.247</v>
      </c>
      <c r="H32" s="13">
        <v>4.1550000000000002</v>
      </c>
      <c r="I32" s="13"/>
      <c r="J32" s="13"/>
    </row>
    <row r="33" spans="1:10" ht="112.5" x14ac:dyDescent="0.2">
      <c r="A33" s="18" t="s">
        <v>46</v>
      </c>
      <c r="B33" s="16" t="s">
        <v>48</v>
      </c>
      <c r="C33" s="16" t="s">
        <v>23</v>
      </c>
      <c r="D33" s="16" t="s">
        <v>24</v>
      </c>
      <c r="E33" s="17"/>
      <c r="F33" s="17"/>
      <c r="G33" s="17">
        <v>0.247</v>
      </c>
      <c r="H33" s="17">
        <v>4.1550000000000002</v>
      </c>
      <c r="I33" s="17"/>
      <c r="J33" s="17"/>
    </row>
    <row r="34" spans="1:10" ht="45" x14ac:dyDescent="0.2">
      <c r="A34" s="11" t="s">
        <v>50</v>
      </c>
      <c r="B34" s="12" t="s">
        <v>51</v>
      </c>
      <c r="C34" s="12"/>
      <c r="D34" s="12"/>
      <c r="E34" s="13">
        <v>2721.5</v>
      </c>
      <c r="F34" s="13">
        <v>2721.5</v>
      </c>
      <c r="G34" s="13">
        <v>22.4</v>
      </c>
      <c r="H34" s="13">
        <v>739.072</v>
      </c>
      <c r="I34" s="13">
        <v>27.157</v>
      </c>
      <c r="J34" s="13">
        <v>27.157</v>
      </c>
    </row>
    <row r="35" spans="1:10" ht="33.75" x14ac:dyDescent="0.2">
      <c r="A35" s="15" t="s">
        <v>50</v>
      </c>
      <c r="B35" s="16" t="s">
        <v>52</v>
      </c>
      <c r="C35" s="16" t="s">
        <v>23</v>
      </c>
      <c r="D35" s="16" t="s">
        <v>24</v>
      </c>
      <c r="E35" s="17">
        <v>2721.5</v>
      </c>
      <c r="F35" s="17">
        <v>2721.5</v>
      </c>
      <c r="G35" s="17"/>
      <c r="H35" s="17"/>
      <c r="I35" s="17"/>
      <c r="J35" s="17"/>
    </row>
    <row r="36" spans="1:10" ht="67.5" x14ac:dyDescent="0.2">
      <c r="A36" s="11" t="s">
        <v>53</v>
      </c>
      <c r="B36" s="12" t="s">
        <v>54</v>
      </c>
      <c r="C36" s="12"/>
      <c r="D36" s="12"/>
      <c r="E36" s="13"/>
      <c r="F36" s="13"/>
      <c r="G36" s="13">
        <v>20.119</v>
      </c>
      <c r="H36" s="13">
        <v>717.81700000000001</v>
      </c>
      <c r="I36" s="13"/>
      <c r="J36" s="13"/>
    </row>
    <row r="37" spans="1:10" ht="67.5" x14ac:dyDescent="0.2">
      <c r="A37" s="15" t="s">
        <v>53</v>
      </c>
      <c r="B37" s="16" t="s">
        <v>55</v>
      </c>
      <c r="C37" s="16" t="s">
        <v>23</v>
      </c>
      <c r="D37" s="16" t="s">
        <v>24</v>
      </c>
      <c r="E37" s="17"/>
      <c r="F37" s="17"/>
      <c r="G37" s="17">
        <v>20.119</v>
      </c>
      <c r="H37" s="17">
        <v>717.81700000000001</v>
      </c>
      <c r="I37" s="17"/>
      <c r="J37" s="17"/>
    </row>
    <row r="38" spans="1:10" ht="45" x14ac:dyDescent="0.2">
      <c r="A38" s="11" t="s">
        <v>56</v>
      </c>
      <c r="B38" s="12" t="s">
        <v>57</v>
      </c>
      <c r="C38" s="12"/>
      <c r="D38" s="12"/>
      <c r="E38" s="13"/>
      <c r="F38" s="13"/>
      <c r="G38" s="13">
        <v>0.4</v>
      </c>
      <c r="H38" s="13">
        <v>6.3109999999999999</v>
      </c>
      <c r="I38" s="13"/>
      <c r="J38" s="13"/>
    </row>
    <row r="39" spans="1:10" ht="45" x14ac:dyDescent="0.2">
      <c r="A39" s="15" t="s">
        <v>56</v>
      </c>
      <c r="B39" s="16" t="s">
        <v>58</v>
      </c>
      <c r="C39" s="16" t="s">
        <v>23</v>
      </c>
      <c r="D39" s="16" t="s">
        <v>24</v>
      </c>
      <c r="E39" s="17"/>
      <c r="F39" s="17"/>
      <c r="G39" s="17">
        <v>0.4</v>
      </c>
      <c r="H39" s="17">
        <v>6.3109999999999999</v>
      </c>
      <c r="I39" s="17"/>
      <c r="J39" s="17"/>
    </row>
    <row r="40" spans="1:10" ht="67.5" x14ac:dyDescent="0.2">
      <c r="A40" s="11" t="s">
        <v>59</v>
      </c>
      <c r="B40" s="12" t="s">
        <v>60</v>
      </c>
      <c r="C40" s="12"/>
      <c r="D40" s="12"/>
      <c r="E40" s="13"/>
      <c r="F40" s="13"/>
      <c r="G40" s="13">
        <v>1.881</v>
      </c>
      <c r="H40" s="13">
        <v>15.143000000000001</v>
      </c>
      <c r="I40" s="13"/>
      <c r="J40" s="13"/>
    </row>
    <row r="41" spans="1:10" ht="67.5" x14ac:dyDescent="0.2">
      <c r="A41" s="15" t="s">
        <v>59</v>
      </c>
      <c r="B41" s="16" t="s">
        <v>61</v>
      </c>
      <c r="C41" s="16" t="s">
        <v>23</v>
      </c>
      <c r="D41" s="16" t="s">
        <v>24</v>
      </c>
      <c r="E41" s="17"/>
      <c r="F41" s="17"/>
      <c r="G41" s="17">
        <v>1.881</v>
      </c>
      <c r="H41" s="17">
        <v>15.143000000000001</v>
      </c>
      <c r="I41" s="17"/>
      <c r="J41" s="17"/>
    </row>
    <row r="42" spans="1:10" ht="45" x14ac:dyDescent="0.2">
      <c r="A42" s="11" t="s">
        <v>62</v>
      </c>
      <c r="B42" s="12" t="s">
        <v>63</v>
      </c>
      <c r="C42" s="12"/>
      <c r="D42" s="12"/>
      <c r="E42" s="13"/>
      <c r="F42" s="13"/>
      <c r="G42" s="13"/>
      <c r="H42" s="13">
        <v>-0.19800000000000001</v>
      </c>
      <c r="I42" s="13"/>
      <c r="J42" s="13"/>
    </row>
    <row r="43" spans="1:10" ht="45" x14ac:dyDescent="0.2">
      <c r="A43" s="15" t="s">
        <v>62</v>
      </c>
      <c r="B43" s="16" t="s">
        <v>64</v>
      </c>
      <c r="C43" s="16" t="s">
        <v>23</v>
      </c>
      <c r="D43" s="16" t="s">
        <v>24</v>
      </c>
      <c r="E43" s="17"/>
      <c r="F43" s="17"/>
      <c r="G43" s="17"/>
      <c r="H43" s="17">
        <v>-0.19800000000000001</v>
      </c>
      <c r="I43" s="17"/>
      <c r="J43" s="17"/>
    </row>
    <row r="44" spans="1:10" ht="78.75" x14ac:dyDescent="0.2">
      <c r="A44" s="14" t="s">
        <v>65</v>
      </c>
      <c r="B44" s="12" t="s">
        <v>66</v>
      </c>
      <c r="C44" s="12"/>
      <c r="D44" s="12"/>
      <c r="E44" s="13">
        <v>7311.5</v>
      </c>
      <c r="F44" s="13">
        <v>7311.5</v>
      </c>
      <c r="G44" s="13">
        <v>504.79599999999999</v>
      </c>
      <c r="H44" s="13">
        <v>6215.7460000000001</v>
      </c>
      <c r="I44" s="13">
        <v>85.013000000000005</v>
      </c>
      <c r="J44" s="13">
        <v>85.013000000000005</v>
      </c>
    </row>
    <row r="45" spans="1:10" ht="67.5" x14ac:dyDescent="0.2">
      <c r="A45" s="18" t="s">
        <v>65</v>
      </c>
      <c r="B45" s="16" t="s">
        <v>67</v>
      </c>
      <c r="C45" s="16" t="s">
        <v>23</v>
      </c>
      <c r="D45" s="16" t="s">
        <v>24</v>
      </c>
      <c r="E45" s="17">
        <v>7311.5</v>
      </c>
      <c r="F45" s="17">
        <v>7311.5</v>
      </c>
      <c r="G45" s="17"/>
      <c r="H45" s="17"/>
      <c r="I45" s="17"/>
      <c r="J45" s="17"/>
    </row>
    <row r="46" spans="1:10" ht="112.5" x14ac:dyDescent="0.2">
      <c r="A46" s="14" t="s">
        <v>68</v>
      </c>
      <c r="B46" s="12" t="s">
        <v>69</v>
      </c>
      <c r="C46" s="12"/>
      <c r="D46" s="12"/>
      <c r="E46" s="13"/>
      <c r="F46" s="13"/>
      <c r="G46" s="13">
        <v>504.79599999999999</v>
      </c>
      <c r="H46" s="13">
        <v>6215.7460000000001</v>
      </c>
      <c r="I46" s="13"/>
      <c r="J46" s="13"/>
    </row>
    <row r="47" spans="1:10" ht="101.25" x14ac:dyDescent="0.2">
      <c r="A47" s="18" t="s">
        <v>68</v>
      </c>
      <c r="B47" s="16" t="s">
        <v>70</v>
      </c>
      <c r="C47" s="16" t="s">
        <v>23</v>
      </c>
      <c r="D47" s="16" t="s">
        <v>24</v>
      </c>
      <c r="E47" s="17"/>
      <c r="F47" s="17"/>
      <c r="G47" s="17">
        <v>504.79599999999999</v>
      </c>
      <c r="H47" s="17">
        <v>6215.7460000000001</v>
      </c>
      <c r="I47" s="17"/>
      <c r="J47" s="17"/>
    </row>
    <row r="48" spans="1:10" ht="45" x14ac:dyDescent="0.2">
      <c r="A48" s="11" t="s">
        <v>875</v>
      </c>
      <c r="B48" s="12" t="s">
        <v>876</v>
      </c>
      <c r="C48" s="12"/>
      <c r="D48" s="12"/>
      <c r="E48" s="13"/>
      <c r="F48" s="13"/>
      <c r="G48" s="13">
        <v>-4.0000000000000001E-3</v>
      </c>
      <c r="H48" s="13"/>
      <c r="I48" s="13"/>
      <c r="J48" s="13"/>
    </row>
    <row r="49" spans="1:10" ht="56.25" x14ac:dyDescent="0.2">
      <c r="A49" s="11" t="s">
        <v>877</v>
      </c>
      <c r="B49" s="12" t="s">
        <v>878</v>
      </c>
      <c r="C49" s="12"/>
      <c r="D49" s="12"/>
      <c r="E49" s="13"/>
      <c r="F49" s="13"/>
      <c r="G49" s="13">
        <v>-4.0000000000000001E-3</v>
      </c>
      <c r="H49" s="13"/>
      <c r="I49" s="13"/>
      <c r="J49" s="13"/>
    </row>
    <row r="50" spans="1:10" ht="56.25" x14ac:dyDescent="0.2">
      <c r="A50" s="15" t="s">
        <v>877</v>
      </c>
      <c r="B50" s="16" t="s">
        <v>879</v>
      </c>
      <c r="C50" s="16" t="s">
        <v>23</v>
      </c>
      <c r="D50" s="16" t="s">
        <v>24</v>
      </c>
      <c r="E50" s="17"/>
      <c r="F50" s="17"/>
      <c r="G50" s="17">
        <v>-4.0000000000000001E-3</v>
      </c>
      <c r="H50" s="17"/>
      <c r="I50" s="17"/>
      <c r="J50" s="17"/>
    </row>
    <row r="51" spans="1:10" ht="33.75" x14ac:dyDescent="0.2">
      <c r="A51" s="161" t="s">
        <v>694</v>
      </c>
      <c r="B51" s="162" t="s">
        <v>695</v>
      </c>
      <c r="C51" s="162"/>
      <c r="D51" s="162"/>
      <c r="E51" s="66">
        <v>4845.4799999999996</v>
      </c>
      <c r="F51" s="66">
        <v>6809.8689999999997</v>
      </c>
      <c r="G51" s="163">
        <v>724.96100000000001</v>
      </c>
      <c r="H51" s="66">
        <v>5643.951</v>
      </c>
      <c r="I51" s="66">
        <v>116.479</v>
      </c>
      <c r="J51" s="66">
        <v>82.879000000000005</v>
      </c>
    </row>
    <row r="52" spans="1:10" ht="33.75" x14ac:dyDescent="0.2">
      <c r="A52" s="161" t="s">
        <v>405</v>
      </c>
      <c r="B52" s="162" t="s">
        <v>696</v>
      </c>
      <c r="C52" s="162"/>
      <c r="D52" s="162"/>
      <c r="E52" s="66">
        <v>4845.4799999999996</v>
      </c>
      <c r="F52" s="66">
        <v>6809.8689999999997</v>
      </c>
      <c r="G52" s="163">
        <v>724.96100000000001</v>
      </c>
      <c r="H52" s="66">
        <v>5643.951</v>
      </c>
      <c r="I52" s="66">
        <v>116.479</v>
      </c>
      <c r="J52" s="66">
        <v>82.879000000000005</v>
      </c>
    </row>
    <row r="53" spans="1:10" ht="67.5" x14ac:dyDescent="0.2">
      <c r="A53" s="11" t="s">
        <v>418</v>
      </c>
      <c r="B53" s="12" t="s">
        <v>697</v>
      </c>
      <c r="C53" s="12"/>
      <c r="D53" s="12"/>
      <c r="E53" s="13">
        <v>2107.7800000000002</v>
      </c>
      <c r="F53" s="13">
        <v>2469.4360000000001</v>
      </c>
      <c r="G53" s="13">
        <v>337.88600000000002</v>
      </c>
      <c r="H53" s="13">
        <v>2554.9070000000002</v>
      </c>
      <c r="I53" s="13">
        <v>121.21299999999999</v>
      </c>
      <c r="J53" s="13">
        <v>103.461</v>
      </c>
    </row>
    <row r="54" spans="1:10" ht="101.25" x14ac:dyDescent="0.2">
      <c r="A54" s="14" t="s">
        <v>880</v>
      </c>
      <c r="B54" s="12" t="s">
        <v>881</v>
      </c>
      <c r="C54" s="12"/>
      <c r="D54" s="12"/>
      <c r="E54" s="13">
        <v>2107.7800000000002</v>
      </c>
      <c r="F54" s="13">
        <v>2469.4360000000001</v>
      </c>
      <c r="G54" s="13">
        <v>337.88600000000002</v>
      </c>
      <c r="H54" s="13">
        <v>2554.9070000000002</v>
      </c>
      <c r="I54" s="13">
        <v>121.21299999999999</v>
      </c>
      <c r="J54" s="13">
        <v>103.461</v>
      </c>
    </row>
    <row r="55" spans="1:10" ht="101.25" x14ac:dyDescent="0.2">
      <c r="A55" s="18" t="s">
        <v>880</v>
      </c>
      <c r="B55" s="16" t="s">
        <v>882</v>
      </c>
      <c r="C55" s="16" t="s">
        <v>23</v>
      </c>
      <c r="D55" s="16" t="s">
        <v>24</v>
      </c>
      <c r="E55" s="17">
        <v>2107.7800000000002</v>
      </c>
      <c r="F55" s="17">
        <v>2469.4360000000001</v>
      </c>
      <c r="G55" s="17">
        <v>337.88600000000002</v>
      </c>
      <c r="H55" s="17">
        <v>2554.9070000000002</v>
      </c>
      <c r="I55" s="17">
        <v>121.21299999999999</v>
      </c>
      <c r="J55" s="17">
        <v>103.461</v>
      </c>
    </row>
    <row r="56" spans="1:10" ht="78.75" x14ac:dyDescent="0.2">
      <c r="A56" s="14" t="s">
        <v>417</v>
      </c>
      <c r="B56" s="12" t="s">
        <v>698</v>
      </c>
      <c r="C56" s="12"/>
      <c r="D56" s="12"/>
      <c r="E56" s="13">
        <v>19.399999999999999</v>
      </c>
      <c r="F56" s="13">
        <v>17.302</v>
      </c>
      <c r="G56" s="13">
        <v>2.4129999999999998</v>
      </c>
      <c r="H56" s="13">
        <v>19.423999999999999</v>
      </c>
      <c r="I56" s="13">
        <v>100.124</v>
      </c>
      <c r="J56" s="13">
        <v>112.26300000000001</v>
      </c>
    </row>
    <row r="57" spans="1:10" ht="112.5" x14ac:dyDescent="0.2">
      <c r="A57" s="14" t="s">
        <v>883</v>
      </c>
      <c r="B57" s="12" t="s">
        <v>884</v>
      </c>
      <c r="C57" s="12"/>
      <c r="D57" s="12"/>
      <c r="E57" s="13">
        <v>19.399999999999999</v>
      </c>
      <c r="F57" s="13">
        <v>17.302</v>
      </c>
      <c r="G57" s="13">
        <v>2.4129999999999998</v>
      </c>
      <c r="H57" s="13">
        <v>19.423999999999999</v>
      </c>
      <c r="I57" s="13">
        <v>100.124</v>
      </c>
      <c r="J57" s="13">
        <v>112.26300000000001</v>
      </c>
    </row>
    <row r="58" spans="1:10" ht="112.5" x14ac:dyDescent="0.2">
      <c r="A58" s="18" t="s">
        <v>883</v>
      </c>
      <c r="B58" s="16" t="s">
        <v>885</v>
      </c>
      <c r="C58" s="16" t="s">
        <v>23</v>
      </c>
      <c r="D58" s="16" t="s">
        <v>24</v>
      </c>
      <c r="E58" s="17">
        <v>19.399999999999999</v>
      </c>
      <c r="F58" s="17">
        <v>17.302</v>
      </c>
      <c r="G58" s="17">
        <v>2.4129999999999998</v>
      </c>
      <c r="H58" s="17">
        <v>19.423999999999999</v>
      </c>
      <c r="I58" s="17">
        <v>100.124</v>
      </c>
      <c r="J58" s="17">
        <v>112.26300000000001</v>
      </c>
    </row>
    <row r="59" spans="1:10" ht="67.5" x14ac:dyDescent="0.2">
      <c r="A59" s="11" t="s">
        <v>416</v>
      </c>
      <c r="B59" s="12" t="s">
        <v>699</v>
      </c>
      <c r="C59" s="12"/>
      <c r="D59" s="12"/>
      <c r="E59" s="13">
        <v>3188.3</v>
      </c>
      <c r="F59" s="13">
        <v>4782.3270000000002</v>
      </c>
      <c r="G59" s="13">
        <v>431.43099999999998</v>
      </c>
      <c r="H59" s="13">
        <v>3501.732</v>
      </c>
      <c r="I59" s="13">
        <v>109.831</v>
      </c>
      <c r="J59" s="13">
        <v>73.221999999999994</v>
      </c>
    </row>
    <row r="60" spans="1:10" ht="101.25" x14ac:dyDescent="0.2">
      <c r="A60" s="14" t="s">
        <v>886</v>
      </c>
      <c r="B60" s="12" t="s">
        <v>887</v>
      </c>
      <c r="C60" s="12"/>
      <c r="D60" s="12"/>
      <c r="E60" s="13">
        <v>3188.3</v>
      </c>
      <c r="F60" s="13">
        <v>4782.3270000000002</v>
      </c>
      <c r="G60" s="13">
        <v>431.43099999999998</v>
      </c>
      <c r="H60" s="13">
        <v>3501.732</v>
      </c>
      <c r="I60" s="13">
        <v>109.831</v>
      </c>
      <c r="J60" s="13">
        <v>73.221999999999994</v>
      </c>
    </row>
    <row r="61" spans="1:10" ht="101.25" x14ac:dyDescent="0.2">
      <c r="A61" s="18" t="s">
        <v>886</v>
      </c>
      <c r="B61" s="16" t="s">
        <v>888</v>
      </c>
      <c r="C61" s="16" t="s">
        <v>23</v>
      </c>
      <c r="D61" s="16" t="s">
        <v>24</v>
      </c>
      <c r="E61" s="17">
        <v>3188.3</v>
      </c>
      <c r="F61" s="17">
        <v>4782.3270000000002</v>
      </c>
      <c r="G61" s="17">
        <v>431.43099999999998</v>
      </c>
      <c r="H61" s="17">
        <v>3501.732</v>
      </c>
      <c r="I61" s="17">
        <v>109.831</v>
      </c>
      <c r="J61" s="17">
        <v>73.221999999999994</v>
      </c>
    </row>
    <row r="62" spans="1:10" ht="67.5" x14ac:dyDescent="0.2">
      <c r="A62" s="11" t="s">
        <v>415</v>
      </c>
      <c r="B62" s="12" t="s">
        <v>700</v>
      </c>
      <c r="C62" s="12"/>
      <c r="D62" s="12"/>
      <c r="E62" s="13">
        <v>-470</v>
      </c>
      <c r="F62" s="13">
        <v>-459.197</v>
      </c>
      <c r="G62" s="13">
        <v>-46.768999999999998</v>
      </c>
      <c r="H62" s="13">
        <v>-432.11200000000002</v>
      </c>
      <c r="I62" s="13">
        <v>91.938999999999993</v>
      </c>
      <c r="J62" s="13">
        <v>94.102000000000004</v>
      </c>
    </row>
    <row r="63" spans="1:10" ht="101.25" x14ac:dyDescent="0.2">
      <c r="A63" s="14" t="s">
        <v>889</v>
      </c>
      <c r="B63" s="12" t="s">
        <v>890</v>
      </c>
      <c r="C63" s="12"/>
      <c r="D63" s="12"/>
      <c r="E63" s="13">
        <v>-470</v>
      </c>
      <c r="F63" s="13">
        <v>-459.197</v>
      </c>
      <c r="G63" s="13">
        <v>-46.768999999999998</v>
      </c>
      <c r="H63" s="13">
        <v>-432.11200000000002</v>
      </c>
      <c r="I63" s="13">
        <v>91.938999999999993</v>
      </c>
      <c r="J63" s="13">
        <v>94.102000000000004</v>
      </c>
    </row>
    <row r="64" spans="1:10" ht="101.25" x14ac:dyDescent="0.2">
      <c r="A64" s="18" t="s">
        <v>889</v>
      </c>
      <c r="B64" s="16" t="s">
        <v>891</v>
      </c>
      <c r="C64" s="16" t="s">
        <v>23</v>
      </c>
      <c r="D64" s="16" t="s">
        <v>24</v>
      </c>
      <c r="E64" s="17">
        <v>-470</v>
      </c>
      <c r="F64" s="17">
        <v>-459.197</v>
      </c>
      <c r="G64" s="17">
        <v>-46.768999999999998</v>
      </c>
      <c r="H64" s="17">
        <v>-432.11200000000002</v>
      </c>
      <c r="I64" s="17">
        <v>91.938999999999993</v>
      </c>
      <c r="J64" s="17">
        <v>94.102000000000004</v>
      </c>
    </row>
    <row r="65" spans="1:11" ht="20.25" customHeight="1" x14ac:dyDescent="0.2">
      <c r="A65" s="161" t="s">
        <v>71</v>
      </c>
      <c r="B65" s="162" t="s">
        <v>72</v>
      </c>
      <c r="C65" s="162"/>
      <c r="D65" s="162"/>
      <c r="E65" s="66">
        <v>59514.8</v>
      </c>
      <c r="F65" s="66">
        <v>64937</v>
      </c>
      <c r="G65" s="163">
        <v>1289.69</v>
      </c>
      <c r="H65" s="66">
        <v>49912.462</v>
      </c>
      <c r="I65" s="66">
        <v>83.866</v>
      </c>
      <c r="J65" s="66">
        <v>76.863</v>
      </c>
      <c r="K65" s="67"/>
    </row>
    <row r="66" spans="1:11" ht="22.5" x14ac:dyDescent="0.2">
      <c r="A66" s="164" t="s">
        <v>521</v>
      </c>
      <c r="B66" s="165" t="s">
        <v>522</v>
      </c>
      <c r="C66" s="165"/>
      <c r="D66" s="165"/>
      <c r="E66" s="106">
        <v>26234.7</v>
      </c>
      <c r="F66" s="106">
        <v>35976</v>
      </c>
      <c r="G66" s="163">
        <v>756.02700000000004</v>
      </c>
      <c r="H66" s="106">
        <v>23933.95</v>
      </c>
      <c r="I66" s="106">
        <v>91.23</v>
      </c>
      <c r="J66" s="106">
        <v>66.528000000000006</v>
      </c>
      <c r="K66" s="67"/>
    </row>
    <row r="67" spans="1:11" ht="33.75" x14ac:dyDescent="0.2">
      <c r="A67" s="11" t="s">
        <v>419</v>
      </c>
      <c r="B67" s="12" t="s">
        <v>523</v>
      </c>
      <c r="C67" s="12"/>
      <c r="D67" s="12"/>
      <c r="E67" s="13">
        <v>14297.9</v>
      </c>
      <c r="F67" s="13">
        <v>19786.8</v>
      </c>
      <c r="G67" s="13">
        <v>547.48299999999995</v>
      </c>
      <c r="H67" s="13">
        <v>14074.797</v>
      </c>
      <c r="I67" s="13">
        <v>98.44</v>
      </c>
      <c r="J67" s="13">
        <v>71.132000000000005</v>
      </c>
    </row>
    <row r="68" spans="1:11" ht="33.75" x14ac:dyDescent="0.2">
      <c r="A68" s="11" t="s">
        <v>419</v>
      </c>
      <c r="B68" s="12" t="s">
        <v>524</v>
      </c>
      <c r="C68" s="12"/>
      <c r="D68" s="12"/>
      <c r="E68" s="13">
        <v>14297.9</v>
      </c>
      <c r="F68" s="13">
        <v>19786.8</v>
      </c>
      <c r="G68" s="13">
        <v>547.48299999999995</v>
      </c>
      <c r="H68" s="13">
        <v>14074.662</v>
      </c>
      <c r="I68" s="13">
        <v>98.438999999999993</v>
      </c>
      <c r="J68" s="13">
        <v>71.132000000000005</v>
      </c>
    </row>
    <row r="69" spans="1:11" ht="22.5" x14ac:dyDescent="0.2">
      <c r="A69" s="15" t="s">
        <v>419</v>
      </c>
      <c r="B69" s="16" t="s">
        <v>701</v>
      </c>
      <c r="C69" s="16" t="s">
        <v>23</v>
      </c>
      <c r="D69" s="16" t="s">
        <v>24</v>
      </c>
      <c r="E69" s="17">
        <v>14297.9</v>
      </c>
      <c r="F69" s="17">
        <v>19786.8</v>
      </c>
      <c r="G69" s="17"/>
      <c r="H69" s="17"/>
      <c r="I69" s="17"/>
      <c r="J69" s="17"/>
    </row>
    <row r="70" spans="1:11" ht="56.25" x14ac:dyDescent="0.2">
      <c r="A70" s="11" t="s">
        <v>702</v>
      </c>
      <c r="B70" s="12" t="s">
        <v>525</v>
      </c>
      <c r="C70" s="12"/>
      <c r="D70" s="12"/>
      <c r="E70" s="13"/>
      <c r="F70" s="13"/>
      <c r="G70" s="13">
        <v>538.61500000000001</v>
      </c>
      <c r="H70" s="13">
        <v>13793.914000000001</v>
      </c>
      <c r="I70" s="13"/>
      <c r="J70" s="13"/>
    </row>
    <row r="71" spans="1:11" ht="56.25" x14ac:dyDescent="0.2">
      <c r="A71" s="15" t="s">
        <v>702</v>
      </c>
      <c r="B71" s="16" t="s">
        <v>526</v>
      </c>
      <c r="C71" s="16" t="s">
        <v>23</v>
      </c>
      <c r="D71" s="16" t="s">
        <v>24</v>
      </c>
      <c r="E71" s="17"/>
      <c r="F71" s="17"/>
      <c r="G71" s="17">
        <v>538.61500000000001</v>
      </c>
      <c r="H71" s="17">
        <v>13793.914000000001</v>
      </c>
      <c r="I71" s="17"/>
      <c r="J71" s="17"/>
    </row>
    <row r="72" spans="1:11" ht="33.75" x14ac:dyDescent="0.2">
      <c r="A72" s="11" t="s">
        <v>421</v>
      </c>
      <c r="B72" s="12" t="s">
        <v>527</v>
      </c>
      <c r="C72" s="12"/>
      <c r="D72" s="12"/>
      <c r="E72" s="13"/>
      <c r="F72" s="13"/>
      <c r="G72" s="13">
        <v>8.7919999999999998</v>
      </c>
      <c r="H72" s="13">
        <v>287.94900000000001</v>
      </c>
      <c r="I72" s="13"/>
      <c r="J72" s="13"/>
    </row>
    <row r="73" spans="1:11" ht="33.75" x14ac:dyDescent="0.2">
      <c r="A73" s="15" t="s">
        <v>421</v>
      </c>
      <c r="B73" s="16" t="s">
        <v>528</v>
      </c>
      <c r="C73" s="16" t="s">
        <v>23</v>
      </c>
      <c r="D73" s="16" t="s">
        <v>24</v>
      </c>
      <c r="E73" s="17"/>
      <c r="F73" s="17"/>
      <c r="G73" s="17">
        <v>8.7919999999999998</v>
      </c>
      <c r="H73" s="17">
        <v>287.94900000000001</v>
      </c>
      <c r="I73" s="17"/>
      <c r="J73" s="17"/>
    </row>
    <row r="74" spans="1:11" ht="56.25" x14ac:dyDescent="0.2">
      <c r="A74" s="11" t="s">
        <v>422</v>
      </c>
      <c r="B74" s="12" t="s">
        <v>529</v>
      </c>
      <c r="C74" s="12"/>
      <c r="D74" s="12"/>
      <c r="E74" s="13"/>
      <c r="F74" s="13"/>
      <c r="G74" s="13">
        <v>7.4999999999999997E-2</v>
      </c>
      <c r="H74" s="13">
        <v>4.3490000000000002</v>
      </c>
      <c r="I74" s="13"/>
      <c r="J74" s="13"/>
    </row>
    <row r="75" spans="1:11" ht="56.25" x14ac:dyDescent="0.2">
      <c r="A75" s="15" t="s">
        <v>422</v>
      </c>
      <c r="B75" s="16" t="s">
        <v>530</v>
      </c>
      <c r="C75" s="16" t="s">
        <v>23</v>
      </c>
      <c r="D75" s="16" t="s">
        <v>24</v>
      </c>
      <c r="E75" s="17"/>
      <c r="F75" s="17"/>
      <c r="G75" s="17">
        <v>7.4999999999999997E-2</v>
      </c>
      <c r="H75" s="17">
        <v>4.3490000000000002</v>
      </c>
      <c r="I75" s="17"/>
      <c r="J75" s="17"/>
    </row>
    <row r="76" spans="1:11" ht="33.75" x14ac:dyDescent="0.2">
      <c r="A76" s="11" t="s">
        <v>423</v>
      </c>
      <c r="B76" s="12" t="s">
        <v>531</v>
      </c>
      <c r="C76" s="12"/>
      <c r="D76" s="12"/>
      <c r="E76" s="13"/>
      <c r="F76" s="13"/>
      <c r="G76" s="13"/>
      <c r="H76" s="13">
        <v>-11.55</v>
      </c>
      <c r="I76" s="13"/>
      <c r="J76" s="13"/>
    </row>
    <row r="77" spans="1:11" ht="33.75" x14ac:dyDescent="0.2">
      <c r="A77" s="15" t="s">
        <v>423</v>
      </c>
      <c r="B77" s="16" t="s">
        <v>845</v>
      </c>
      <c r="C77" s="16" t="s">
        <v>23</v>
      </c>
      <c r="D77" s="16" t="s">
        <v>24</v>
      </c>
      <c r="E77" s="17"/>
      <c r="F77" s="17"/>
      <c r="G77" s="17"/>
      <c r="H77" s="17">
        <v>-11.55</v>
      </c>
      <c r="I77" s="17"/>
      <c r="J77" s="17"/>
    </row>
    <row r="78" spans="1:11" ht="45" x14ac:dyDescent="0.2">
      <c r="A78" s="11" t="s">
        <v>427</v>
      </c>
      <c r="B78" s="12" t="s">
        <v>892</v>
      </c>
      <c r="C78" s="12"/>
      <c r="D78" s="12"/>
      <c r="E78" s="13"/>
      <c r="F78" s="13"/>
      <c r="G78" s="13"/>
      <c r="H78" s="13">
        <v>0.13500000000000001</v>
      </c>
      <c r="I78" s="13"/>
      <c r="J78" s="13"/>
    </row>
    <row r="79" spans="1:11" ht="67.5" x14ac:dyDescent="0.2">
      <c r="A79" s="14" t="s">
        <v>426</v>
      </c>
      <c r="B79" s="12" t="s">
        <v>893</v>
      </c>
      <c r="C79" s="12"/>
      <c r="D79" s="12"/>
      <c r="E79" s="13"/>
      <c r="F79" s="13"/>
      <c r="G79" s="13"/>
      <c r="H79" s="13">
        <v>0.13500000000000001</v>
      </c>
      <c r="I79" s="13"/>
      <c r="J79" s="13"/>
    </row>
    <row r="80" spans="1:11" ht="67.5" x14ac:dyDescent="0.2">
      <c r="A80" s="18" t="s">
        <v>426</v>
      </c>
      <c r="B80" s="16" t="s">
        <v>894</v>
      </c>
      <c r="C80" s="16" t="s">
        <v>23</v>
      </c>
      <c r="D80" s="16" t="s">
        <v>24</v>
      </c>
      <c r="E80" s="17"/>
      <c r="F80" s="17"/>
      <c r="G80" s="17"/>
      <c r="H80" s="17">
        <v>0.13500000000000001</v>
      </c>
      <c r="I80" s="17"/>
      <c r="J80" s="17"/>
    </row>
    <row r="81" spans="1:10" ht="33.75" x14ac:dyDescent="0.2">
      <c r="A81" s="11" t="s">
        <v>428</v>
      </c>
      <c r="B81" s="12" t="s">
        <v>532</v>
      </c>
      <c r="C81" s="12"/>
      <c r="D81" s="12"/>
      <c r="E81" s="13">
        <v>11936.8</v>
      </c>
      <c r="F81" s="13">
        <v>16189.2</v>
      </c>
      <c r="G81" s="13">
        <v>207.27799999999999</v>
      </c>
      <c r="H81" s="13">
        <v>9863.6029999999992</v>
      </c>
      <c r="I81" s="13">
        <v>82.632000000000005</v>
      </c>
      <c r="J81" s="13">
        <v>60.927</v>
      </c>
    </row>
    <row r="82" spans="1:10" ht="56.25" x14ac:dyDescent="0.2">
      <c r="A82" s="11" t="s">
        <v>429</v>
      </c>
      <c r="B82" s="12" t="s">
        <v>533</v>
      </c>
      <c r="C82" s="12"/>
      <c r="D82" s="12"/>
      <c r="E82" s="13">
        <v>11936.8</v>
      </c>
      <c r="F82" s="13">
        <v>16189.2</v>
      </c>
      <c r="G82" s="13">
        <v>207.27799999999999</v>
      </c>
      <c r="H82" s="13">
        <v>9863.6029999999992</v>
      </c>
      <c r="I82" s="13">
        <v>82.632000000000005</v>
      </c>
      <c r="J82" s="13">
        <v>60.927</v>
      </c>
    </row>
    <row r="83" spans="1:10" ht="56.25" x14ac:dyDescent="0.2">
      <c r="A83" s="15" t="s">
        <v>429</v>
      </c>
      <c r="B83" s="16" t="s">
        <v>703</v>
      </c>
      <c r="C83" s="16" t="s">
        <v>23</v>
      </c>
      <c r="D83" s="16" t="s">
        <v>24</v>
      </c>
      <c r="E83" s="17">
        <v>11936.8</v>
      </c>
      <c r="F83" s="17">
        <v>16189.2</v>
      </c>
      <c r="G83" s="17"/>
      <c r="H83" s="17"/>
      <c r="I83" s="17"/>
      <c r="J83" s="17"/>
    </row>
    <row r="84" spans="1:10" ht="90" x14ac:dyDescent="0.2">
      <c r="A84" s="14" t="s">
        <v>895</v>
      </c>
      <c r="B84" s="12" t="s">
        <v>534</v>
      </c>
      <c r="C84" s="12"/>
      <c r="D84" s="12"/>
      <c r="E84" s="13"/>
      <c r="F84" s="13"/>
      <c r="G84" s="13">
        <v>193.142</v>
      </c>
      <c r="H84" s="13">
        <v>9129.848</v>
      </c>
      <c r="I84" s="13"/>
      <c r="J84" s="13"/>
    </row>
    <row r="85" spans="1:10" ht="78.75" x14ac:dyDescent="0.2">
      <c r="A85" s="18" t="s">
        <v>895</v>
      </c>
      <c r="B85" s="16" t="s">
        <v>535</v>
      </c>
      <c r="C85" s="16" t="s">
        <v>23</v>
      </c>
      <c r="D85" s="16" t="s">
        <v>24</v>
      </c>
      <c r="E85" s="17"/>
      <c r="F85" s="17"/>
      <c r="G85" s="17">
        <v>193.142</v>
      </c>
      <c r="H85" s="17">
        <v>9129.848</v>
      </c>
      <c r="I85" s="17"/>
      <c r="J85" s="17"/>
    </row>
    <row r="86" spans="1:10" ht="67.5" x14ac:dyDescent="0.2">
      <c r="A86" s="11" t="s">
        <v>896</v>
      </c>
      <c r="B86" s="12" t="s">
        <v>536</v>
      </c>
      <c r="C86" s="12"/>
      <c r="D86" s="12"/>
      <c r="E86" s="13"/>
      <c r="F86" s="13"/>
      <c r="G86" s="13">
        <v>13.836</v>
      </c>
      <c r="H86" s="13">
        <v>702.09299999999996</v>
      </c>
      <c r="I86" s="13"/>
      <c r="J86" s="13"/>
    </row>
    <row r="87" spans="1:10" ht="67.5" x14ac:dyDescent="0.2">
      <c r="A87" s="15" t="s">
        <v>896</v>
      </c>
      <c r="B87" s="16" t="s">
        <v>537</v>
      </c>
      <c r="C87" s="16" t="s">
        <v>23</v>
      </c>
      <c r="D87" s="16" t="s">
        <v>24</v>
      </c>
      <c r="E87" s="17"/>
      <c r="F87" s="17"/>
      <c r="G87" s="17">
        <v>13.836</v>
      </c>
      <c r="H87" s="17">
        <v>702.09299999999996</v>
      </c>
      <c r="I87" s="17"/>
      <c r="J87" s="17"/>
    </row>
    <row r="88" spans="1:10" ht="90" x14ac:dyDescent="0.2">
      <c r="A88" s="14" t="s">
        <v>897</v>
      </c>
      <c r="B88" s="12" t="s">
        <v>538</v>
      </c>
      <c r="C88" s="12"/>
      <c r="D88" s="12"/>
      <c r="E88" s="13"/>
      <c r="F88" s="13"/>
      <c r="G88" s="13">
        <v>0.3</v>
      </c>
      <c r="H88" s="13">
        <v>43.997</v>
      </c>
      <c r="I88" s="13"/>
      <c r="J88" s="13"/>
    </row>
    <row r="89" spans="1:10" ht="78.75" x14ac:dyDescent="0.2">
      <c r="A89" s="18" t="s">
        <v>897</v>
      </c>
      <c r="B89" s="16" t="s">
        <v>539</v>
      </c>
      <c r="C89" s="16" t="s">
        <v>23</v>
      </c>
      <c r="D89" s="16" t="s">
        <v>24</v>
      </c>
      <c r="E89" s="17"/>
      <c r="F89" s="17"/>
      <c r="G89" s="17">
        <v>0.3</v>
      </c>
      <c r="H89" s="17">
        <v>43.997</v>
      </c>
      <c r="I89" s="17"/>
      <c r="J89" s="17"/>
    </row>
    <row r="90" spans="1:10" ht="67.5" x14ac:dyDescent="0.2">
      <c r="A90" s="11" t="s">
        <v>898</v>
      </c>
      <c r="B90" s="12" t="s">
        <v>541</v>
      </c>
      <c r="C90" s="12"/>
      <c r="D90" s="12"/>
      <c r="E90" s="13"/>
      <c r="F90" s="13"/>
      <c r="G90" s="13"/>
      <c r="H90" s="13">
        <v>-12.336</v>
      </c>
      <c r="I90" s="13"/>
      <c r="J90" s="13"/>
    </row>
    <row r="91" spans="1:10" ht="56.25" x14ac:dyDescent="0.2">
      <c r="A91" s="15" t="s">
        <v>898</v>
      </c>
      <c r="B91" s="16" t="s">
        <v>542</v>
      </c>
      <c r="C91" s="16" t="s">
        <v>23</v>
      </c>
      <c r="D91" s="16" t="s">
        <v>24</v>
      </c>
      <c r="E91" s="17"/>
      <c r="F91" s="17"/>
      <c r="G91" s="17"/>
      <c r="H91" s="17">
        <v>-12.336</v>
      </c>
      <c r="I91" s="17"/>
      <c r="J91" s="17"/>
    </row>
    <row r="92" spans="1:10" ht="33.75" x14ac:dyDescent="0.2">
      <c r="A92" s="11" t="s">
        <v>435</v>
      </c>
      <c r="B92" s="12" t="s">
        <v>846</v>
      </c>
      <c r="C92" s="12"/>
      <c r="D92" s="12"/>
      <c r="E92" s="13"/>
      <c r="F92" s="13"/>
      <c r="G92" s="13">
        <v>1.2669999999999999</v>
      </c>
      <c r="H92" s="13">
        <v>-4.45</v>
      </c>
      <c r="I92" s="13"/>
      <c r="J92" s="13"/>
    </row>
    <row r="93" spans="1:10" ht="67.5" x14ac:dyDescent="0.2">
      <c r="A93" s="11" t="s">
        <v>899</v>
      </c>
      <c r="B93" s="12" t="s">
        <v>543</v>
      </c>
      <c r="C93" s="12"/>
      <c r="D93" s="12"/>
      <c r="E93" s="13"/>
      <c r="F93" s="13"/>
      <c r="G93" s="13"/>
      <c r="H93" s="13">
        <v>-14.603999999999999</v>
      </c>
      <c r="I93" s="13"/>
      <c r="J93" s="13"/>
    </row>
    <row r="94" spans="1:10" ht="56.25" x14ac:dyDescent="0.2">
      <c r="A94" s="15" t="s">
        <v>899</v>
      </c>
      <c r="B94" s="16" t="s">
        <v>544</v>
      </c>
      <c r="C94" s="16" t="s">
        <v>23</v>
      </c>
      <c r="D94" s="16" t="s">
        <v>24</v>
      </c>
      <c r="E94" s="17"/>
      <c r="F94" s="17"/>
      <c r="G94" s="17"/>
      <c r="H94" s="17">
        <v>-14.603999999999999</v>
      </c>
      <c r="I94" s="17"/>
      <c r="J94" s="17"/>
    </row>
    <row r="95" spans="1:10" ht="45" x14ac:dyDescent="0.2">
      <c r="A95" s="11" t="s">
        <v>900</v>
      </c>
      <c r="B95" s="12" t="s">
        <v>545</v>
      </c>
      <c r="C95" s="12"/>
      <c r="D95" s="12"/>
      <c r="E95" s="13"/>
      <c r="F95" s="13"/>
      <c r="G95" s="13">
        <v>1.2669999999999999</v>
      </c>
      <c r="H95" s="13">
        <v>10.154</v>
      </c>
      <c r="I95" s="13"/>
      <c r="J95" s="13"/>
    </row>
    <row r="96" spans="1:10" ht="45" x14ac:dyDescent="0.2">
      <c r="A96" s="15" t="s">
        <v>900</v>
      </c>
      <c r="B96" s="16" t="s">
        <v>546</v>
      </c>
      <c r="C96" s="16" t="s">
        <v>23</v>
      </c>
      <c r="D96" s="16" t="s">
        <v>24</v>
      </c>
      <c r="E96" s="17"/>
      <c r="F96" s="17"/>
      <c r="G96" s="17">
        <v>1.2669999999999999</v>
      </c>
      <c r="H96" s="17">
        <v>10.154</v>
      </c>
      <c r="I96" s="17"/>
      <c r="J96" s="17"/>
    </row>
    <row r="97" spans="1:11" ht="22.5" x14ac:dyDescent="0.2">
      <c r="A97" s="164" t="s">
        <v>73</v>
      </c>
      <c r="B97" s="165" t="s">
        <v>74</v>
      </c>
      <c r="C97" s="165"/>
      <c r="D97" s="165"/>
      <c r="E97" s="106">
        <v>32934.199999999997</v>
      </c>
      <c r="F97" s="106">
        <v>27340</v>
      </c>
      <c r="G97" s="163">
        <v>474.82600000000002</v>
      </c>
      <c r="H97" s="106">
        <v>24279.715</v>
      </c>
      <c r="I97" s="106">
        <v>73.721999999999994</v>
      </c>
      <c r="J97" s="106">
        <v>88.807000000000002</v>
      </c>
      <c r="K97" s="67"/>
    </row>
    <row r="98" spans="1:11" s="225" customFormat="1" ht="22.5" x14ac:dyDescent="0.2">
      <c r="A98" s="161" t="s">
        <v>73</v>
      </c>
      <c r="B98" s="162" t="s">
        <v>75</v>
      </c>
      <c r="C98" s="162"/>
      <c r="D98" s="162"/>
      <c r="E98" s="66">
        <v>32934.199999999997</v>
      </c>
      <c r="F98" s="66">
        <v>27340</v>
      </c>
      <c r="G98" s="66">
        <v>474.82600000000002</v>
      </c>
      <c r="H98" s="66">
        <v>24278.732</v>
      </c>
      <c r="I98" s="66">
        <v>73.718999999999994</v>
      </c>
      <c r="J98" s="66">
        <v>88.802999999999997</v>
      </c>
    </row>
    <row r="99" spans="1:11" ht="22.5" x14ac:dyDescent="0.2">
      <c r="A99" s="15" t="s">
        <v>73</v>
      </c>
      <c r="B99" s="16" t="s">
        <v>901</v>
      </c>
      <c r="C99" s="16" t="s">
        <v>23</v>
      </c>
      <c r="D99" s="16" t="s">
        <v>24</v>
      </c>
      <c r="E99" s="17">
        <v>32934.199999999997</v>
      </c>
      <c r="F99" s="17">
        <v>27340</v>
      </c>
      <c r="G99" s="17"/>
      <c r="H99" s="17"/>
      <c r="I99" s="17"/>
      <c r="J99" s="17"/>
    </row>
    <row r="100" spans="1:11" ht="45" x14ac:dyDescent="0.2">
      <c r="A100" s="11" t="s">
        <v>76</v>
      </c>
      <c r="B100" s="12" t="s">
        <v>77</v>
      </c>
      <c r="C100" s="12"/>
      <c r="D100" s="12"/>
      <c r="E100" s="13"/>
      <c r="F100" s="13"/>
      <c r="G100" s="13">
        <v>458.851</v>
      </c>
      <c r="H100" s="13">
        <v>23864.314999999999</v>
      </c>
      <c r="I100" s="13"/>
      <c r="J100" s="13"/>
    </row>
    <row r="101" spans="1:11" ht="45" x14ac:dyDescent="0.2">
      <c r="A101" s="15" t="s">
        <v>76</v>
      </c>
      <c r="B101" s="16" t="s">
        <v>78</v>
      </c>
      <c r="C101" s="16" t="s">
        <v>23</v>
      </c>
      <c r="D101" s="16" t="s">
        <v>24</v>
      </c>
      <c r="E101" s="17"/>
      <c r="F101" s="17"/>
      <c r="G101" s="17">
        <v>458.851</v>
      </c>
      <c r="H101" s="17">
        <v>23864.314999999999</v>
      </c>
      <c r="I101" s="17"/>
      <c r="J101" s="17"/>
    </row>
    <row r="102" spans="1:11" ht="33.75" x14ac:dyDescent="0.2">
      <c r="A102" s="11" t="s">
        <v>79</v>
      </c>
      <c r="B102" s="12" t="s">
        <v>80</v>
      </c>
      <c r="C102" s="12"/>
      <c r="D102" s="12"/>
      <c r="E102" s="13"/>
      <c r="F102" s="13"/>
      <c r="G102" s="13">
        <v>10.914</v>
      </c>
      <c r="H102" s="13">
        <v>350.31</v>
      </c>
      <c r="I102" s="13"/>
      <c r="J102" s="13"/>
    </row>
    <row r="103" spans="1:11" ht="22.5" x14ac:dyDescent="0.2">
      <c r="A103" s="15" t="s">
        <v>79</v>
      </c>
      <c r="B103" s="16" t="s">
        <v>81</v>
      </c>
      <c r="C103" s="16" t="s">
        <v>23</v>
      </c>
      <c r="D103" s="16" t="s">
        <v>24</v>
      </c>
      <c r="E103" s="17"/>
      <c r="F103" s="17"/>
      <c r="G103" s="17">
        <v>10.914</v>
      </c>
      <c r="H103" s="17">
        <v>350.31</v>
      </c>
      <c r="I103" s="17"/>
      <c r="J103" s="17"/>
    </row>
    <row r="104" spans="1:11" ht="45" x14ac:dyDescent="0.2">
      <c r="A104" s="11" t="s">
        <v>82</v>
      </c>
      <c r="B104" s="12" t="s">
        <v>83</v>
      </c>
      <c r="C104" s="12"/>
      <c r="D104" s="12"/>
      <c r="E104" s="13"/>
      <c r="F104" s="13"/>
      <c r="G104" s="13">
        <v>5.0620000000000003</v>
      </c>
      <c r="H104" s="13">
        <v>65.977000000000004</v>
      </c>
      <c r="I104" s="13"/>
      <c r="J104" s="13"/>
    </row>
    <row r="105" spans="1:11" ht="45" x14ac:dyDescent="0.2">
      <c r="A105" s="15" t="s">
        <v>82</v>
      </c>
      <c r="B105" s="16" t="s">
        <v>84</v>
      </c>
      <c r="C105" s="16" t="s">
        <v>23</v>
      </c>
      <c r="D105" s="16" t="s">
        <v>24</v>
      </c>
      <c r="E105" s="17"/>
      <c r="F105" s="17"/>
      <c r="G105" s="17">
        <v>5.0620000000000003</v>
      </c>
      <c r="H105" s="17">
        <v>65.977000000000004</v>
      </c>
      <c r="I105" s="17"/>
      <c r="J105" s="17"/>
    </row>
    <row r="106" spans="1:11" ht="22.5" x14ac:dyDescent="0.2">
      <c r="A106" s="11" t="s">
        <v>85</v>
      </c>
      <c r="B106" s="12" t="s">
        <v>86</v>
      </c>
      <c r="C106" s="12"/>
      <c r="D106" s="12"/>
      <c r="E106" s="13"/>
      <c r="F106" s="13"/>
      <c r="G106" s="13"/>
      <c r="H106" s="13">
        <v>-1.87</v>
      </c>
      <c r="I106" s="13"/>
      <c r="J106" s="13"/>
    </row>
    <row r="107" spans="1:11" ht="22.5" x14ac:dyDescent="0.2">
      <c r="A107" s="15" t="s">
        <v>85</v>
      </c>
      <c r="B107" s="16" t="s">
        <v>87</v>
      </c>
      <c r="C107" s="16" t="s">
        <v>23</v>
      </c>
      <c r="D107" s="16" t="s">
        <v>24</v>
      </c>
      <c r="E107" s="17"/>
      <c r="F107" s="17"/>
      <c r="G107" s="17"/>
      <c r="H107" s="17">
        <v>-1.87</v>
      </c>
      <c r="I107" s="17"/>
      <c r="J107" s="17"/>
    </row>
    <row r="108" spans="1:11" s="225" customFormat="1" ht="33.75" x14ac:dyDescent="0.2">
      <c r="A108" s="161" t="s">
        <v>88</v>
      </c>
      <c r="B108" s="162" t="s">
        <v>89</v>
      </c>
      <c r="C108" s="162"/>
      <c r="D108" s="162"/>
      <c r="E108" s="66"/>
      <c r="F108" s="66"/>
      <c r="G108" s="66"/>
      <c r="H108" s="66">
        <v>0.98199999999999998</v>
      </c>
      <c r="I108" s="66"/>
      <c r="J108" s="66"/>
    </row>
    <row r="109" spans="1:11" ht="45" x14ac:dyDescent="0.2">
      <c r="A109" s="11" t="s">
        <v>93</v>
      </c>
      <c r="B109" s="12" t="s">
        <v>94</v>
      </c>
      <c r="C109" s="12"/>
      <c r="D109" s="12"/>
      <c r="E109" s="13"/>
      <c r="F109" s="13"/>
      <c r="G109" s="13"/>
      <c r="H109" s="13">
        <v>0.98199999999999998</v>
      </c>
      <c r="I109" s="13"/>
      <c r="J109" s="13"/>
    </row>
    <row r="110" spans="1:11" ht="33.75" x14ac:dyDescent="0.2">
      <c r="A110" s="15" t="s">
        <v>93</v>
      </c>
      <c r="B110" s="16" t="s">
        <v>95</v>
      </c>
      <c r="C110" s="16" t="s">
        <v>23</v>
      </c>
      <c r="D110" s="16" t="s">
        <v>24</v>
      </c>
      <c r="E110" s="17"/>
      <c r="F110" s="17"/>
      <c r="G110" s="17"/>
      <c r="H110" s="17">
        <v>0.98199999999999998</v>
      </c>
      <c r="I110" s="17"/>
      <c r="J110" s="17"/>
    </row>
    <row r="111" spans="1:11" x14ac:dyDescent="0.2">
      <c r="A111" s="164" t="s">
        <v>96</v>
      </c>
      <c r="B111" s="165" t="s">
        <v>97</v>
      </c>
      <c r="C111" s="165"/>
      <c r="D111" s="165"/>
      <c r="E111" s="106">
        <v>282.89999999999998</v>
      </c>
      <c r="F111" s="106">
        <v>1521</v>
      </c>
      <c r="G111" s="163">
        <v>58.835999999999999</v>
      </c>
      <c r="H111" s="106">
        <v>1636.337</v>
      </c>
      <c r="I111" s="106">
        <v>578.41499999999996</v>
      </c>
      <c r="J111" s="106">
        <v>107.583</v>
      </c>
      <c r="K111" s="67"/>
    </row>
    <row r="112" spans="1:11" x14ac:dyDescent="0.2">
      <c r="A112" s="11" t="s">
        <v>96</v>
      </c>
      <c r="B112" s="12" t="s">
        <v>98</v>
      </c>
      <c r="C112" s="12"/>
      <c r="D112" s="12"/>
      <c r="E112" s="13">
        <v>282.89999999999998</v>
      </c>
      <c r="F112" s="13">
        <v>1521</v>
      </c>
      <c r="G112" s="13">
        <v>58.835999999999999</v>
      </c>
      <c r="H112" s="13">
        <v>1636.337</v>
      </c>
      <c r="I112" s="13">
        <v>578.41499999999996</v>
      </c>
      <c r="J112" s="13">
        <v>107.583</v>
      </c>
    </row>
    <row r="113" spans="1:11" x14ac:dyDescent="0.2">
      <c r="A113" s="15" t="s">
        <v>96</v>
      </c>
      <c r="B113" s="16" t="s">
        <v>99</v>
      </c>
      <c r="C113" s="16" t="s">
        <v>23</v>
      </c>
      <c r="D113" s="16" t="s">
        <v>24</v>
      </c>
      <c r="E113" s="17">
        <v>282.89999999999998</v>
      </c>
      <c r="F113" s="17">
        <v>1521</v>
      </c>
      <c r="G113" s="17"/>
      <c r="H113" s="17"/>
      <c r="I113" s="17"/>
      <c r="J113" s="17"/>
    </row>
    <row r="114" spans="1:11" ht="45" x14ac:dyDescent="0.2">
      <c r="A114" s="11" t="s">
        <v>100</v>
      </c>
      <c r="B114" s="12" t="s">
        <v>101</v>
      </c>
      <c r="C114" s="12"/>
      <c r="D114" s="12"/>
      <c r="E114" s="13"/>
      <c r="F114" s="13"/>
      <c r="G114" s="13">
        <v>58.616</v>
      </c>
      <c r="H114" s="13">
        <v>1629.3309999999999</v>
      </c>
      <c r="I114" s="13"/>
      <c r="J114" s="13"/>
    </row>
    <row r="115" spans="1:11" ht="45" x14ac:dyDescent="0.2">
      <c r="A115" s="15" t="s">
        <v>100</v>
      </c>
      <c r="B115" s="16" t="s">
        <v>102</v>
      </c>
      <c r="C115" s="16" t="s">
        <v>23</v>
      </c>
      <c r="D115" s="16" t="s">
        <v>24</v>
      </c>
      <c r="E115" s="17"/>
      <c r="F115" s="17"/>
      <c r="G115" s="17">
        <v>58.616</v>
      </c>
      <c r="H115" s="17">
        <v>1629.3309999999999</v>
      </c>
      <c r="I115" s="17"/>
      <c r="J115" s="17"/>
    </row>
    <row r="116" spans="1:11" ht="22.5" x14ac:dyDescent="0.2">
      <c r="A116" s="11" t="s">
        <v>103</v>
      </c>
      <c r="B116" s="12" t="s">
        <v>104</v>
      </c>
      <c r="C116" s="12"/>
      <c r="D116" s="12"/>
      <c r="E116" s="13"/>
      <c r="F116" s="13"/>
      <c r="G116" s="13">
        <v>0.221</v>
      </c>
      <c r="H116" s="13">
        <v>6.4189999999999996</v>
      </c>
      <c r="I116" s="13"/>
      <c r="J116" s="13"/>
    </row>
    <row r="117" spans="1:11" ht="22.5" x14ac:dyDescent="0.2">
      <c r="A117" s="15" t="s">
        <v>103</v>
      </c>
      <c r="B117" s="16" t="s">
        <v>105</v>
      </c>
      <c r="C117" s="16" t="s">
        <v>23</v>
      </c>
      <c r="D117" s="16" t="s">
        <v>24</v>
      </c>
      <c r="E117" s="17"/>
      <c r="F117" s="17"/>
      <c r="G117" s="17">
        <v>0.221</v>
      </c>
      <c r="H117" s="17">
        <v>6.4189999999999996</v>
      </c>
      <c r="I117" s="17"/>
      <c r="J117" s="17"/>
    </row>
    <row r="118" spans="1:11" ht="45" x14ac:dyDescent="0.2">
      <c r="A118" s="11" t="s">
        <v>106</v>
      </c>
      <c r="B118" s="12" t="s">
        <v>107</v>
      </c>
      <c r="C118" s="12"/>
      <c r="D118" s="12"/>
      <c r="E118" s="13"/>
      <c r="F118" s="13"/>
      <c r="G118" s="13"/>
      <c r="H118" s="13">
        <v>0.58699999999999997</v>
      </c>
      <c r="I118" s="13"/>
      <c r="J118" s="13"/>
    </row>
    <row r="119" spans="1:11" ht="33.75" x14ac:dyDescent="0.2">
      <c r="A119" s="15" t="s">
        <v>106</v>
      </c>
      <c r="B119" s="16" t="s">
        <v>108</v>
      </c>
      <c r="C119" s="16" t="s">
        <v>23</v>
      </c>
      <c r="D119" s="16" t="s">
        <v>24</v>
      </c>
      <c r="E119" s="17"/>
      <c r="F119" s="17"/>
      <c r="G119" s="17"/>
      <c r="H119" s="17">
        <v>0.58699999999999997</v>
      </c>
      <c r="I119" s="17"/>
      <c r="J119" s="17"/>
    </row>
    <row r="120" spans="1:11" ht="22.5" x14ac:dyDescent="0.2">
      <c r="A120" s="164" t="s">
        <v>111</v>
      </c>
      <c r="B120" s="165" t="s">
        <v>112</v>
      </c>
      <c r="C120" s="165"/>
      <c r="D120" s="165"/>
      <c r="E120" s="106">
        <v>63</v>
      </c>
      <c r="F120" s="106">
        <v>100</v>
      </c>
      <c r="G120" s="163"/>
      <c r="H120" s="106">
        <v>62.46</v>
      </c>
      <c r="I120" s="106">
        <v>99.143000000000001</v>
      </c>
      <c r="J120" s="106">
        <v>62.46</v>
      </c>
      <c r="K120" s="67"/>
    </row>
    <row r="121" spans="1:11" ht="33.75" x14ac:dyDescent="0.2">
      <c r="A121" s="11" t="s">
        <v>113</v>
      </c>
      <c r="B121" s="12" t="s">
        <v>114</v>
      </c>
      <c r="C121" s="12"/>
      <c r="D121" s="12"/>
      <c r="E121" s="13">
        <v>63</v>
      </c>
      <c r="F121" s="13">
        <v>100</v>
      </c>
      <c r="G121" s="13"/>
      <c r="H121" s="13">
        <v>62.46</v>
      </c>
      <c r="I121" s="13">
        <v>99.143000000000001</v>
      </c>
      <c r="J121" s="13">
        <v>62.46</v>
      </c>
    </row>
    <row r="122" spans="1:11" ht="33.75" x14ac:dyDescent="0.2">
      <c r="A122" s="15" t="s">
        <v>113</v>
      </c>
      <c r="B122" s="16" t="s">
        <v>439</v>
      </c>
      <c r="C122" s="16" t="s">
        <v>23</v>
      </c>
      <c r="D122" s="16" t="s">
        <v>24</v>
      </c>
      <c r="E122" s="17">
        <v>63</v>
      </c>
      <c r="F122" s="17">
        <v>100</v>
      </c>
      <c r="G122" s="17"/>
      <c r="H122" s="17"/>
      <c r="I122" s="17"/>
      <c r="J122" s="17"/>
    </row>
    <row r="123" spans="1:11" ht="67.5" x14ac:dyDescent="0.2">
      <c r="A123" s="11" t="s">
        <v>115</v>
      </c>
      <c r="B123" s="12" t="s">
        <v>116</v>
      </c>
      <c r="C123" s="12"/>
      <c r="D123" s="12"/>
      <c r="E123" s="13"/>
      <c r="F123" s="13"/>
      <c r="G123" s="13"/>
      <c r="H123" s="13">
        <v>62.39</v>
      </c>
      <c r="I123" s="13"/>
      <c r="J123" s="13"/>
    </row>
    <row r="124" spans="1:11" ht="56.25" x14ac:dyDescent="0.2">
      <c r="A124" s="15" t="s">
        <v>115</v>
      </c>
      <c r="B124" s="16" t="s">
        <v>117</v>
      </c>
      <c r="C124" s="16" t="s">
        <v>23</v>
      </c>
      <c r="D124" s="16" t="s">
        <v>24</v>
      </c>
      <c r="E124" s="17"/>
      <c r="F124" s="17"/>
      <c r="G124" s="17"/>
      <c r="H124" s="17">
        <v>62.39</v>
      </c>
      <c r="I124" s="17"/>
      <c r="J124" s="17"/>
    </row>
    <row r="125" spans="1:11" ht="45" x14ac:dyDescent="0.2">
      <c r="A125" s="11" t="s">
        <v>118</v>
      </c>
      <c r="B125" s="12" t="s">
        <v>707</v>
      </c>
      <c r="C125" s="12"/>
      <c r="D125" s="12"/>
      <c r="E125" s="13"/>
      <c r="F125" s="13"/>
      <c r="G125" s="13"/>
      <c r="H125" s="13">
        <v>7.0000000000000007E-2</v>
      </c>
      <c r="I125" s="13"/>
      <c r="J125" s="13"/>
    </row>
    <row r="126" spans="1:11" ht="45" x14ac:dyDescent="0.2">
      <c r="A126" s="15" t="s">
        <v>118</v>
      </c>
      <c r="B126" s="16" t="s">
        <v>708</v>
      </c>
      <c r="C126" s="16" t="s">
        <v>23</v>
      </c>
      <c r="D126" s="16" t="s">
        <v>24</v>
      </c>
      <c r="E126" s="17"/>
      <c r="F126" s="17"/>
      <c r="G126" s="17"/>
      <c r="H126" s="17">
        <v>7.0000000000000007E-2</v>
      </c>
      <c r="I126" s="17"/>
      <c r="J126" s="17"/>
    </row>
    <row r="127" spans="1:11" ht="21.75" customHeight="1" x14ac:dyDescent="0.2">
      <c r="A127" s="161" t="s">
        <v>119</v>
      </c>
      <c r="B127" s="162" t="s">
        <v>120</v>
      </c>
      <c r="C127" s="162"/>
      <c r="D127" s="162"/>
      <c r="E127" s="66">
        <v>10150.5</v>
      </c>
      <c r="F127" s="66">
        <v>10150.5</v>
      </c>
      <c r="G127" s="163">
        <v>709.76700000000005</v>
      </c>
      <c r="H127" s="66">
        <v>6478.5020000000004</v>
      </c>
      <c r="I127" s="66">
        <v>63.825000000000003</v>
      </c>
      <c r="J127" s="66">
        <v>63.825000000000003</v>
      </c>
    </row>
    <row r="128" spans="1:11" ht="33.75" x14ac:dyDescent="0.2">
      <c r="A128" s="11" t="s">
        <v>121</v>
      </c>
      <c r="B128" s="12" t="s">
        <v>122</v>
      </c>
      <c r="C128" s="12"/>
      <c r="D128" s="12"/>
      <c r="E128" s="13">
        <v>10130.5</v>
      </c>
      <c r="F128" s="13">
        <v>10130.5</v>
      </c>
      <c r="G128" s="13">
        <v>709.76700000000005</v>
      </c>
      <c r="H128" s="13">
        <v>6478.5020000000004</v>
      </c>
      <c r="I128" s="13">
        <v>63.951000000000001</v>
      </c>
      <c r="J128" s="13">
        <v>63.951000000000001</v>
      </c>
    </row>
    <row r="129" spans="1:14" ht="45" x14ac:dyDescent="0.2">
      <c r="A129" s="11" t="s">
        <v>123</v>
      </c>
      <c r="B129" s="12" t="s">
        <v>124</v>
      </c>
      <c r="C129" s="12"/>
      <c r="D129" s="12"/>
      <c r="E129" s="13">
        <v>10130.5</v>
      </c>
      <c r="F129" s="13">
        <v>10130.5</v>
      </c>
      <c r="G129" s="13">
        <v>709.76700000000005</v>
      </c>
      <c r="H129" s="13">
        <v>6478.5020000000004</v>
      </c>
      <c r="I129" s="13">
        <v>63.951000000000001</v>
      </c>
      <c r="J129" s="13">
        <v>63.951000000000001</v>
      </c>
    </row>
    <row r="130" spans="1:14" ht="78.75" x14ac:dyDescent="0.2">
      <c r="A130" s="14" t="s">
        <v>126</v>
      </c>
      <c r="B130" s="12" t="s">
        <v>127</v>
      </c>
      <c r="C130" s="12"/>
      <c r="D130" s="12"/>
      <c r="E130" s="13">
        <v>10130.5</v>
      </c>
      <c r="F130" s="13">
        <v>10130.5</v>
      </c>
      <c r="G130" s="13">
        <v>709.76700000000005</v>
      </c>
      <c r="H130" s="13">
        <v>6479.1019999999999</v>
      </c>
      <c r="I130" s="13">
        <v>63.956000000000003</v>
      </c>
      <c r="J130" s="13">
        <v>63.956000000000003</v>
      </c>
    </row>
    <row r="131" spans="1:14" ht="67.5" x14ac:dyDescent="0.2">
      <c r="A131" s="18" t="s">
        <v>126</v>
      </c>
      <c r="B131" s="16" t="s">
        <v>128</v>
      </c>
      <c r="C131" s="16" t="s">
        <v>23</v>
      </c>
      <c r="D131" s="16" t="s">
        <v>24</v>
      </c>
      <c r="E131" s="17">
        <v>10130.5</v>
      </c>
      <c r="F131" s="17">
        <v>10130.5</v>
      </c>
      <c r="G131" s="17">
        <v>709.76700000000005</v>
      </c>
      <c r="H131" s="17">
        <v>6479.1019999999999</v>
      </c>
      <c r="I131" s="17">
        <v>63.956000000000003</v>
      </c>
      <c r="J131" s="17">
        <v>63.956000000000003</v>
      </c>
    </row>
    <row r="132" spans="1:14" ht="45" x14ac:dyDescent="0.2">
      <c r="A132" s="11" t="s">
        <v>548</v>
      </c>
      <c r="B132" s="12" t="s">
        <v>549</v>
      </c>
      <c r="C132" s="12"/>
      <c r="D132" s="12"/>
      <c r="E132" s="13"/>
      <c r="F132" s="13"/>
      <c r="G132" s="13"/>
      <c r="H132" s="13">
        <v>-0.6</v>
      </c>
      <c r="I132" s="13"/>
      <c r="J132" s="13"/>
    </row>
    <row r="133" spans="1:14" ht="45" x14ac:dyDescent="0.2">
      <c r="A133" s="15" t="s">
        <v>548</v>
      </c>
      <c r="B133" s="16" t="s">
        <v>550</v>
      </c>
      <c r="C133" s="16" t="s">
        <v>23</v>
      </c>
      <c r="D133" s="16" t="s">
        <v>24</v>
      </c>
      <c r="E133" s="17"/>
      <c r="F133" s="17"/>
      <c r="G133" s="17"/>
      <c r="H133" s="17">
        <v>-0.6</v>
      </c>
      <c r="I133" s="17"/>
      <c r="J133" s="17"/>
    </row>
    <row r="134" spans="1:14" ht="33.75" x14ac:dyDescent="0.2">
      <c r="A134" s="11" t="s">
        <v>129</v>
      </c>
      <c r="B134" s="12" t="s">
        <v>130</v>
      </c>
      <c r="C134" s="12"/>
      <c r="D134" s="12"/>
      <c r="E134" s="13">
        <v>20</v>
      </c>
      <c r="F134" s="13">
        <v>20</v>
      </c>
      <c r="G134" s="13"/>
      <c r="H134" s="13"/>
      <c r="I134" s="13"/>
      <c r="J134" s="13"/>
    </row>
    <row r="135" spans="1:14" ht="22.5" x14ac:dyDescent="0.2">
      <c r="A135" s="11" t="s">
        <v>131</v>
      </c>
      <c r="B135" s="12" t="s">
        <v>132</v>
      </c>
      <c r="C135" s="12"/>
      <c r="D135" s="12"/>
      <c r="E135" s="13">
        <v>20</v>
      </c>
      <c r="F135" s="13">
        <v>20</v>
      </c>
      <c r="G135" s="13"/>
      <c r="H135" s="13"/>
      <c r="I135" s="13"/>
      <c r="J135" s="13"/>
    </row>
    <row r="136" spans="1:14" ht="56.25" x14ac:dyDescent="0.2">
      <c r="A136" s="11" t="s">
        <v>134</v>
      </c>
      <c r="B136" s="12" t="s">
        <v>902</v>
      </c>
      <c r="C136" s="12"/>
      <c r="D136" s="12"/>
      <c r="E136" s="13">
        <v>20</v>
      </c>
      <c r="F136" s="13">
        <v>20</v>
      </c>
      <c r="G136" s="13"/>
      <c r="H136" s="13"/>
      <c r="I136" s="13"/>
      <c r="J136" s="13"/>
    </row>
    <row r="137" spans="1:14" ht="56.25" x14ac:dyDescent="0.2">
      <c r="A137" s="15" t="s">
        <v>134</v>
      </c>
      <c r="B137" s="16" t="s">
        <v>903</v>
      </c>
      <c r="C137" s="16" t="s">
        <v>23</v>
      </c>
      <c r="D137" s="16" t="s">
        <v>24</v>
      </c>
      <c r="E137" s="17">
        <v>20</v>
      </c>
      <c r="F137" s="17">
        <v>20</v>
      </c>
      <c r="G137" s="17"/>
      <c r="H137" s="17"/>
      <c r="I137" s="17"/>
      <c r="J137" s="17"/>
    </row>
    <row r="138" spans="1:14" ht="33.75" x14ac:dyDescent="0.2">
      <c r="A138" s="161" t="s">
        <v>141</v>
      </c>
      <c r="B138" s="162" t="s">
        <v>142</v>
      </c>
      <c r="C138" s="162"/>
      <c r="D138" s="162"/>
      <c r="E138" s="66">
        <v>11850.475</v>
      </c>
      <c r="F138" s="66">
        <v>12890.893</v>
      </c>
      <c r="G138" s="163">
        <v>1039.1890000000001</v>
      </c>
      <c r="H138" s="66">
        <v>11411.004000000001</v>
      </c>
      <c r="I138" s="66">
        <v>96.292000000000002</v>
      </c>
      <c r="J138" s="66">
        <v>88.52</v>
      </c>
    </row>
    <row r="139" spans="1:14" ht="22.5" x14ac:dyDescent="0.2">
      <c r="A139" s="164" t="s">
        <v>143</v>
      </c>
      <c r="B139" s="165" t="s">
        <v>144</v>
      </c>
      <c r="C139" s="165"/>
      <c r="D139" s="165"/>
      <c r="E139" s="106">
        <v>3.7749999999999999</v>
      </c>
      <c r="F139" s="106">
        <v>3.7749999999999999</v>
      </c>
      <c r="G139" s="163"/>
      <c r="H139" s="106"/>
      <c r="I139" s="106"/>
      <c r="J139" s="106"/>
    </row>
    <row r="140" spans="1:14" ht="33.75" x14ac:dyDescent="0.2">
      <c r="A140" s="11" t="s">
        <v>145</v>
      </c>
      <c r="B140" s="12" t="s">
        <v>146</v>
      </c>
      <c r="C140" s="12"/>
      <c r="D140" s="12"/>
      <c r="E140" s="13">
        <v>3.7749999999999999</v>
      </c>
      <c r="F140" s="13">
        <v>3.7749999999999999</v>
      </c>
      <c r="G140" s="13"/>
      <c r="H140" s="13"/>
      <c r="I140" s="13"/>
      <c r="J140" s="13"/>
    </row>
    <row r="141" spans="1:14" ht="33.75" x14ac:dyDescent="0.2">
      <c r="A141" s="15" t="s">
        <v>145</v>
      </c>
      <c r="B141" s="16" t="s">
        <v>147</v>
      </c>
      <c r="C141" s="16" t="s">
        <v>23</v>
      </c>
      <c r="D141" s="16" t="s">
        <v>24</v>
      </c>
      <c r="E141" s="17">
        <v>3.7749999999999999</v>
      </c>
      <c r="F141" s="17">
        <v>3.7749999999999999</v>
      </c>
      <c r="G141" s="17"/>
      <c r="H141" s="17"/>
      <c r="I141" s="17"/>
      <c r="J141" s="17"/>
    </row>
    <row r="142" spans="1:14" ht="86.25" customHeight="1" x14ac:dyDescent="0.2">
      <c r="A142" s="164" t="s">
        <v>148</v>
      </c>
      <c r="B142" s="165" t="s">
        <v>149</v>
      </c>
      <c r="C142" s="165"/>
      <c r="D142" s="165"/>
      <c r="E142" s="106">
        <v>10716.7</v>
      </c>
      <c r="F142" s="106">
        <v>11520.118</v>
      </c>
      <c r="G142" s="163">
        <v>911.827</v>
      </c>
      <c r="H142" s="106">
        <v>10349.299999999999</v>
      </c>
      <c r="I142" s="106">
        <v>96.572000000000003</v>
      </c>
      <c r="J142" s="106">
        <v>89.837000000000003</v>
      </c>
      <c r="K142" s="67"/>
      <c r="L142" s="166"/>
      <c r="M142" s="67"/>
    </row>
    <row r="143" spans="1:14" ht="65.25" customHeight="1" x14ac:dyDescent="0.2">
      <c r="A143" s="164" t="s">
        <v>150</v>
      </c>
      <c r="B143" s="165" t="s">
        <v>151</v>
      </c>
      <c r="C143" s="165"/>
      <c r="D143" s="165"/>
      <c r="E143" s="106">
        <v>10075.700000000001</v>
      </c>
      <c r="F143" s="106">
        <v>10875.7</v>
      </c>
      <c r="G143" s="163">
        <v>911.827</v>
      </c>
      <c r="H143" s="106">
        <v>10048.824000000001</v>
      </c>
      <c r="I143" s="106">
        <v>99.733000000000004</v>
      </c>
      <c r="J143" s="106">
        <v>92.397000000000006</v>
      </c>
      <c r="K143" s="67">
        <f>F143+F149</f>
        <v>11516.7</v>
      </c>
      <c r="L143" s="67">
        <f t="shared" ref="L143:N143" si="0">G143+G149</f>
        <v>911.827</v>
      </c>
      <c r="M143" s="67">
        <f t="shared" si="0"/>
        <v>10345.882000000001</v>
      </c>
      <c r="N143" s="67">
        <f t="shared" si="0"/>
        <v>146.07600000000002</v>
      </c>
    </row>
    <row r="144" spans="1:14" ht="78.75" x14ac:dyDescent="0.2">
      <c r="A144" s="14" t="s">
        <v>716</v>
      </c>
      <c r="B144" s="12" t="s">
        <v>462</v>
      </c>
      <c r="C144" s="12"/>
      <c r="D144" s="12"/>
      <c r="E144" s="13">
        <v>4165</v>
      </c>
      <c r="F144" s="13">
        <v>4965</v>
      </c>
      <c r="G144" s="13">
        <v>345.024</v>
      </c>
      <c r="H144" s="13">
        <v>5008.9740000000002</v>
      </c>
      <c r="I144" s="13">
        <v>120.264</v>
      </c>
      <c r="J144" s="13">
        <v>100.886</v>
      </c>
      <c r="K144" s="67"/>
    </row>
    <row r="145" spans="1:12" ht="78.75" x14ac:dyDescent="0.2">
      <c r="A145" s="167" t="s">
        <v>716</v>
      </c>
      <c r="B145" s="168" t="s">
        <v>463</v>
      </c>
      <c r="C145" s="168" t="s">
        <v>23</v>
      </c>
      <c r="D145" s="168" t="s">
        <v>24</v>
      </c>
      <c r="E145" s="169">
        <v>4165</v>
      </c>
      <c r="F145" s="169">
        <v>4965</v>
      </c>
      <c r="G145" s="169">
        <v>345.024</v>
      </c>
      <c r="H145" s="170">
        <v>5008.9740000000002</v>
      </c>
      <c r="I145" s="169">
        <v>120.264</v>
      </c>
      <c r="J145" s="169">
        <v>100.886</v>
      </c>
      <c r="K145" s="67"/>
    </row>
    <row r="146" spans="1:12" ht="67.5" x14ac:dyDescent="0.2">
      <c r="A146" s="14" t="s">
        <v>152</v>
      </c>
      <c r="B146" s="12" t="s">
        <v>153</v>
      </c>
      <c r="C146" s="12"/>
      <c r="D146" s="12"/>
      <c r="E146" s="13">
        <v>5910.7</v>
      </c>
      <c r="F146" s="13">
        <v>5910.7</v>
      </c>
      <c r="G146" s="13">
        <v>566.803</v>
      </c>
      <c r="H146" s="13">
        <v>5039.8500000000004</v>
      </c>
      <c r="I146" s="13">
        <v>85.266999999999996</v>
      </c>
      <c r="J146" s="13">
        <v>85.266999999999996</v>
      </c>
    </row>
    <row r="147" spans="1:12" ht="67.5" x14ac:dyDescent="0.2">
      <c r="A147" s="167" t="s">
        <v>152</v>
      </c>
      <c r="B147" s="168" t="s">
        <v>155</v>
      </c>
      <c r="C147" s="168" t="s">
        <v>23</v>
      </c>
      <c r="D147" s="168" t="s">
        <v>24</v>
      </c>
      <c r="E147" s="169">
        <v>4161.6000000000004</v>
      </c>
      <c r="F147" s="169">
        <v>2412.5</v>
      </c>
      <c r="G147" s="169">
        <v>280.22000000000003</v>
      </c>
      <c r="H147" s="169">
        <v>2117.1999999999998</v>
      </c>
      <c r="I147" s="169">
        <v>50.875</v>
      </c>
      <c r="J147" s="169">
        <v>87.76</v>
      </c>
    </row>
    <row r="148" spans="1:12" ht="67.5" x14ac:dyDescent="0.2">
      <c r="A148" s="167" t="s">
        <v>152</v>
      </c>
      <c r="B148" s="168" t="s">
        <v>156</v>
      </c>
      <c r="C148" s="168" t="s">
        <v>23</v>
      </c>
      <c r="D148" s="168" t="s">
        <v>24</v>
      </c>
      <c r="E148" s="169">
        <v>1749.1</v>
      </c>
      <c r="F148" s="169">
        <v>3498.2</v>
      </c>
      <c r="G148" s="169">
        <v>286.58300000000003</v>
      </c>
      <c r="H148" s="169">
        <v>2922.65</v>
      </c>
      <c r="I148" s="169">
        <v>167.095</v>
      </c>
      <c r="J148" s="169">
        <v>83.546999999999997</v>
      </c>
    </row>
    <row r="149" spans="1:12" ht="92.25" customHeight="1" x14ac:dyDescent="0.2">
      <c r="A149" s="164" t="s">
        <v>464</v>
      </c>
      <c r="B149" s="165" t="s">
        <v>551</v>
      </c>
      <c r="C149" s="165"/>
      <c r="D149" s="165"/>
      <c r="E149" s="106">
        <v>641</v>
      </c>
      <c r="F149" s="106">
        <v>641</v>
      </c>
      <c r="G149" s="163"/>
      <c r="H149" s="106">
        <v>297.05799999999999</v>
      </c>
      <c r="I149" s="106">
        <v>46.343000000000004</v>
      </c>
      <c r="J149" s="106">
        <v>46.343000000000004</v>
      </c>
    </row>
    <row r="150" spans="1:12" ht="67.5" x14ac:dyDescent="0.2">
      <c r="A150" s="11" t="s">
        <v>466</v>
      </c>
      <c r="B150" s="12" t="s">
        <v>465</v>
      </c>
      <c r="C150" s="12"/>
      <c r="D150" s="12"/>
      <c r="E150" s="13">
        <v>641</v>
      </c>
      <c r="F150" s="13">
        <v>641</v>
      </c>
      <c r="G150" s="13"/>
      <c r="H150" s="13">
        <v>297.05799999999999</v>
      </c>
      <c r="I150" s="13">
        <v>46.343000000000004</v>
      </c>
      <c r="J150" s="13">
        <v>46.343000000000004</v>
      </c>
    </row>
    <row r="151" spans="1:12" ht="67.5" x14ac:dyDescent="0.2">
      <c r="A151" s="171" t="s">
        <v>466</v>
      </c>
      <c r="B151" s="168" t="s">
        <v>467</v>
      </c>
      <c r="C151" s="168" t="s">
        <v>23</v>
      </c>
      <c r="D151" s="168" t="s">
        <v>24</v>
      </c>
      <c r="E151" s="169">
        <v>641</v>
      </c>
      <c r="F151" s="169">
        <v>641</v>
      </c>
      <c r="G151" s="169"/>
      <c r="H151" s="169">
        <v>297.05799999999999</v>
      </c>
      <c r="I151" s="169">
        <v>46.343000000000004</v>
      </c>
      <c r="J151" s="169">
        <v>46.343000000000004</v>
      </c>
    </row>
    <row r="152" spans="1:12" ht="78.75" x14ac:dyDescent="0.2">
      <c r="A152" s="172" t="s">
        <v>157</v>
      </c>
      <c r="B152" s="165" t="s">
        <v>158</v>
      </c>
      <c r="C152" s="165"/>
      <c r="D152" s="165"/>
      <c r="E152" s="106"/>
      <c r="F152" s="106">
        <v>3.4180000000000001</v>
      </c>
      <c r="G152" s="163"/>
      <c r="H152" s="106">
        <v>3.4180000000000001</v>
      </c>
      <c r="I152" s="106"/>
      <c r="J152" s="106">
        <v>100</v>
      </c>
    </row>
    <row r="153" spans="1:12" ht="67.5" x14ac:dyDescent="0.2">
      <c r="A153" s="11" t="s">
        <v>159</v>
      </c>
      <c r="B153" s="12" t="s">
        <v>160</v>
      </c>
      <c r="C153" s="12"/>
      <c r="D153" s="12"/>
      <c r="E153" s="13"/>
      <c r="F153" s="13">
        <v>3.4180000000000001</v>
      </c>
      <c r="G153" s="13"/>
      <c r="H153" s="13">
        <v>3.4180000000000001</v>
      </c>
      <c r="I153" s="13"/>
      <c r="J153" s="13">
        <v>100</v>
      </c>
    </row>
    <row r="154" spans="1:12" ht="56.25" x14ac:dyDescent="0.2">
      <c r="A154" s="15" t="s">
        <v>159</v>
      </c>
      <c r="B154" s="16" t="s">
        <v>161</v>
      </c>
      <c r="C154" s="16" t="s">
        <v>23</v>
      </c>
      <c r="D154" s="16" t="s">
        <v>24</v>
      </c>
      <c r="E154" s="17"/>
      <c r="F154" s="17">
        <v>3.4180000000000001</v>
      </c>
      <c r="G154" s="17"/>
      <c r="H154" s="17">
        <v>3.4180000000000001</v>
      </c>
      <c r="I154" s="17"/>
      <c r="J154" s="17">
        <v>100</v>
      </c>
    </row>
    <row r="155" spans="1:12" s="176" customFormat="1" ht="55.5" customHeight="1" x14ac:dyDescent="0.2">
      <c r="A155" s="173" t="s">
        <v>904</v>
      </c>
      <c r="B155" s="174" t="s">
        <v>905</v>
      </c>
      <c r="C155" s="174"/>
      <c r="D155" s="174"/>
      <c r="E155" s="107"/>
      <c r="F155" s="107"/>
      <c r="G155" s="175"/>
      <c r="H155" s="107">
        <v>1.139</v>
      </c>
      <c r="I155" s="107"/>
      <c r="J155" s="107"/>
    </row>
    <row r="156" spans="1:12" ht="33.75" x14ac:dyDescent="0.2">
      <c r="A156" s="11" t="s">
        <v>468</v>
      </c>
      <c r="B156" s="12" t="s">
        <v>906</v>
      </c>
      <c r="C156" s="12"/>
      <c r="D156" s="12"/>
      <c r="E156" s="13"/>
      <c r="F156" s="13"/>
      <c r="G156" s="13"/>
      <c r="H156" s="13">
        <v>1.139</v>
      </c>
      <c r="I156" s="13"/>
      <c r="J156" s="13"/>
    </row>
    <row r="157" spans="1:12" ht="135" x14ac:dyDescent="0.2">
      <c r="A157" s="14" t="s">
        <v>907</v>
      </c>
      <c r="B157" s="12" t="s">
        <v>908</v>
      </c>
      <c r="C157" s="12"/>
      <c r="D157" s="12"/>
      <c r="E157" s="13"/>
      <c r="F157" s="13"/>
      <c r="G157" s="13"/>
      <c r="H157" s="13">
        <v>1.139</v>
      </c>
      <c r="I157" s="13"/>
      <c r="J157" s="13"/>
    </row>
    <row r="158" spans="1:12" ht="123.75" x14ac:dyDescent="0.2">
      <c r="A158" s="18" t="s">
        <v>907</v>
      </c>
      <c r="B158" s="16" t="s">
        <v>909</v>
      </c>
      <c r="C158" s="16" t="s">
        <v>23</v>
      </c>
      <c r="D158" s="16" t="s">
        <v>24</v>
      </c>
      <c r="E158" s="17"/>
      <c r="F158" s="17"/>
      <c r="G158" s="17"/>
      <c r="H158" s="17">
        <v>1.139</v>
      </c>
      <c r="I158" s="17"/>
      <c r="J158" s="17"/>
    </row>
    <row r="159" spans="1:12" ht="36" customHeight="1" x14ac:dyDescent="0.2">
      <c r="A159" s="172" t="s">
        <v>910</v>
      </c>
      <c r="B159" s="165" t="s">
        <v>911</v>
      </c>
      <c r="C159" s="165"/>
      <c r="D159" s="165"/>
      <c r="E159" s="106"/>
      <c r="F159" s="106">
        <v>9</v>
      </c>
      <c r="G159" s="163"/>
      <c r="H159" s="106">
        <v>9</v>
      </c>
      <c r="I159" s="106"/>
      <c r="J159" s="106">
        <v>100</v>
      </c>
      <c r="L159" s="67"/>
    </row>
    <row r="160" spans="1:12" ht="45" x14ac:dyDescent="0.2">
      <c r="A160" s="11" t="s">
        <v>912</v>
      </c>
      <c r="B160" s="12" t="s">
        <v>913</v>
      </c>
      <c r="C160" s="12"/>
      <c r="D160" s="12"/>
      <c r="E160" s="13"/>
      <c r="F160" s="13">
        <v>9</v>
      </c>
      <c r="G160" s="13"/>
      <c r="H160" s="13">
        <v>9</v>
      </c>
      <c r="I160" s="13"/>
      <c r="J160" s="13">
        <v>100</v>
      </c>
    </row>
    <row r="161" spans="1:12" ht="56.25" x14ac:dyDescent="0.2">
      <c r="A161" s="11" t="s">
        <v>914</v>
      </c>
      <c r="B161" s="12" t="s">
        <v>915</v>
      </c>
      <c r="C161" s="12"/>
      <c r="D161" s="12"/>
      <c r="E161" s="13"/>
      <c r="F161" s="13">
        <v>9</v>
      </c>
      <c r="G161" s="13"/>
      <c r="H161" s="13">
        <v>9</v>
      </c>
      <c r="I161" s="13"/>
      <c r="J161" s="13">
        <v>100</v>
      </c>
    </row>
    <row r="162" spans="1:12" ht="45" x14ac:dyDescent="0.2">
      <c r="A162" s="15" t="s">
        <v>914</v>
      </c>
      <c r="B162" s="16" t="s">
        <v>916</v>
      </c>
      <c r="C162" s="16" t="s">
        <v>23</v>
      </c>
      <c r="D162" s="16" t="s">
        <v>24</v>
      </c>
      <c r="E162" s="17"/>
      <c r="F162" s="17">
        <v>9</v>
      </c>
      <c r="G162" s="17"/>
      <c r="H162" s="17">
        <v>9</v>
      </c>
      <c r="I162" s="17"/>
      <c r="J162" s="17">
        <v>100</v>
      </c>
    </row>
    <row r="163" spans="1:12" ht="68.25" customHeight="1" x14ac:dyDescent="0.2">
      <c r="A163" s="172" t="s">
        <v>162</v>
      </c>
      <c r="B163" s="165" t="s">
        <v>163</v>
      </c>
      <c r="C163" s="165"/>
      <c r="D163" s="165"/>
      <c r="E163" s="106">
        <v>1130</v>
      </c>
      <c r="F163" s="106">
        <v>1358</v>
      </c>
      <c r="G163" s="175">
        <v>127.363</v>
      </c>
      <c r="H163" s="106">
        <v>1051.5650000000001</v>
      </c>
      <c r="I163" s="106">
        <v>93.058999999999997</v>
      </c>
      <c r="J163" s="106">
        <v>77.435000000000002</v>
      </c>
      <c r="K163" s="67"/>
      <c r="L163" s="67"/>
    </row>
    <row r="164" spans="1:12" ht="67.5" x14ac:dyDescent="0.2">
      <c r="A164" s="14" t="s">
        <v>164</v>
      </c>
      <c r="B164" s="12" t="s">
        <v>165</v>
      </c>
      <c r="C164" s="12"/>
      <c r="D164" s="12"/>
      <c r="E164" s="13">
        <v>1130</v>
      </c>
      <c r="F164" s="13">
        <v>1358</v>
      </c>
      <c r="G164" s="13">
        <v>127.363</v>
      </c>
      <c r="H164" s="13">
        <v>1051.5650000000001</v>
      </c>
      <c r="I164" s="13">
        <v>93.058999999999997</v>
      </c>
      <c r="J164" s="13">
        <v>77.435000000000002</v>
      </c>
    </row>
    <row r="165" spans="1:12" ht="67.5" x14ac:dyDescent="0.2">
      <c r="A165" s="11" t="s">
        <v>166</v>
      </c>
      <c r="B165" s="12" t="s">
        <v>167</v>
      </c>
      <c r="C165" s="12"/>
      <c r="D165" s="12"/>
      <c r="E165" s="13">
        <v>1130</v>
      </c>
      <c r="F165" s="13">
        <v>1358</v>
      </c>
      <c r="G165" s="13">
        <v>127.363</v>
      </c>
      <c r="H165" s="13">
        <v>1051.5650000000001</v>
      </c>
      <c r="I165" s="13">
        <v>93.058999999999997</v>
      </c>
      <c r="J165" s="13">
        <v>77.435000000000002</v>
      </c>
    </row>
    <row r="166" spans="1:12" ht="67.5" x14ac:dyDescent="0.2">
      <c r="A166" s="15" t="s">
        <v>166</v>
      </c>
      <c r="B166" s="16" t="s">
        <v>168</v>
      </c>
      <c r="C166" s="16" t="s">
        <v>23</v>
      </c>
      <c r="D166" s="16" t="s">
        <v>24</v>
      </c>
      <c r="E166" s="17">
        <v>1130</v>
      </c>
      <c r="F166" s="17">
        <v>1358</v>
      </c>
      <c r="G166" s="17">
        <v>127.363</v>
      </c>
      <c r="H166" s="17">
        <v>1051.5650000000001</v>
      </c>
      <c r="I166" s="17">
        <v>93.058999999999997</v>
      </c>
      <c r="J166" s="17">
        <v>77.435000000000002</v>
      </c>
    </row>
    <row r="167" spans="1:12" ht="37.5" customHeight="1" x14ac:dyDescent="0.2">
      <c r="A167" s="161" t="s">
        <v>169</v>
      </c>
      <c r="B167" s="162" t="s">
        <v>170</v>
      </c>
      <c r="C167" s="162"/>
      <c r="D167" s="162"/>
      <c r="E167" s="66">
        <v>802.4</v>
      </c>
      <c r="F167" s="66">
        <v>890</v>
      </c>
      <c r="G167" s="163">
        <v>-11.996</v>
      </c>
      <c r="H167" s="66">
        <v>704.38800000000003</v>
      </c>
      <c r="I167" s="66">
        <v>87.784999999999997</v>
      </c>
      <c r="J167" s="66">
        <v>79.144999999999996</v>
      </c>
    </row>
    <row r="168" spans="1:12" ht="22.5" x14ac:dyDescent="0.2">
      <c r="A168" s="11" t="s">
        <v>171</v>
      </c>
      <c r="B168" s="12" t="s">
        <v>172</v>
      </c>
      <c r="C168" s="12"/>
      <c r="D168" s="12"/>
      <c r="E168" s="13">
        <v>802.4</v>
      </c>
      <c r="F168" s="13">
        <v>890</v>
      </c>
      <c r="G168" s="13">
        <v>-11.996</v>
      </c>
      <c r="H168" s="13">
        <v>704.38800000000003</v>
      </c>
      <c r="I168" s="13">
        <v>87.784999999999997</v>
      </c>
      <c r="J168" s="13">
        <v>79.144999999999996</v>
      </c>
    </row>
    <row r="169" spans="1:12" ht="22.5" x14ac:dyDescent="0.2">
      <c r="A169" s="11" t="s">
        <v>173</v>
      </c>
      <c r="B169" s="12" t="s">
        <v>174</v>
      </c>
      <c r="C169" s="12"/>
      <c r="D169" s="12"/>
      <c r="E169" s="13">
        <v>202.6</v>
      </c>
      <c r="F169" s="13">
        <v>284</v>
      </c>
      <c r="G169" s="13">
        <v>-1.5369999999999999</v>
      </c>
      <c r="H169" s="13">
        <v>205.35400000000001</v>
      </c>
      <c r="I169" s="13">
        <v>101.36</v>
      </c>
      <c r="J169" s="13">
        <v>72.308000000000007</v>
      </c>
    </row>
    <row r="170" spans="1:12" ht="22.5" x14ac:dyDescent="0.2">
      <c r="A170" s="15" t="s">
        <v>173</v>
      </c>
      <c r="B170" s="16" t="s">
        <v>175</v>
      </c>
      <c r="C170" s="16" t="s">
        <v>23</v>
      </c>
      <c r="D170" s="16" t="s">
        <v>24</v>
      </c>
      <c r="E170" s="17">
        <v>202.6</v>
      </c>
      <c r="F170" s="17">
        <v>284</v>
      </c>
      <c r="G170" s="17"/>
      <c r="H170" s="17"/>
      <c r="I170" s="17"/>
      <c r="J170" s="17"/>
    </row>
    <row r="171" spans="1:12" ht="56.25" x14ac:dyDescent="0.2">
      <c r="A171" s="11" t="s">
        <v>176</v>
      </c>
      <c r="B171" s="12" t="s">
        <v>177</v>
      </c>
      <c r="C171" s="12"/>
      <c r="D171" s="12"/>
      <c r="E171" s="13"/>
      <c r="F171" s="13"/>
      <c r="G171" s="13">
        <v>-1.5369999999999999</v>
      </c>
      <c r="H171" s="13">
        <v>205.35400000000001</v>
      </c>
      <c r="I171" s="13"/>
      <c r="J171" s="13"/>
    </row>
    <row r="172" spans="1:12" ht="56.25" x14ac:dyDescent="0.2">
      <c r="A172" s="15" t="s">
        <v>176</v>
      </c>
      <c r="B172" s="16" t="s">
        <v>178</v>
      </c>
      <c r="C172" s="16" t="s">
        <v>23</v>
      </c>
      <c r="D172" s="16" t="s">
        <v>24</v>
      </c>
      <c r="E172" s="17"/>
      <c r="F172" s="17"/>
      <c r="G172" s="17">
        <v>-1.5369999999999999</v>
      </c>
      <c r="H172" s="17">
        <v>205.35400000000001</v>
      </c>
      <c r="I172" s="17"/>
      <c r="J172" s="17"/>
    </row>
    <row r="173" spans="1:12" ht="37.5" customHeight="1" x14ac:dyDescent="0.2">
      <c r="A173" s="11" t="s">
        <v>181</v>
      </c>
      <c r="B173" s="12" t="s">
        <v>182</v>
      </c>
      <c r="C173" s="12"/>
      <c r="D173" s="12"/>
      <c r="E173" s="13">
        <v>23.7</v>
      </c>
      <c r="F173" s="13">
        <v>16</v>
      </c>
      <c r="G173" s="13"/>
      <c r="H173" s="13">
        <v>9.0359999999999996</v>
      </c>
      <c r="I173" s="13">
        <v>38.125</v>
      </c>
      <c r="J173" s="13">
        <v>56.472999999999999</v>
      </c>
    </row>
    <row r="174" spans="1:12" ht="45" x14ac:dyDescent="0.2">
      <c r="A174" s="11" t="s">
        <v>184</v>
      </c>
      <c r="B174" s="12" t="s">
        <v>185</v>
      </c>
      <c r="C174" s="12"/>
      <c r="D174" s="12"/>
      <c r="E174" s="13">
        <v>23.7</v>
      </c>
      <c r="F174" s="13">
        <v>16</v>
      </c>
      <c r="G174" s="13"/>
      <c r="H174" s="13">
        <v>9.0359999999999996</v>
      </c>
      <c r="I174" s="13">
        <v>38.125</v>
      </c>
      <c r="J174" s="13">
        <v>56.472999999999999</v>
      </c>
    </row>
    <row r="175" spans="1:12" ht="45" x14ac:dyDescent="0.2">
      <c r="A175" s="15" t="s">
        <v>184</v>
      </c>
      <c r="B175" s="16" t="s">
        <v>186</v>
      </c>
      <c r="C175" s="16" t="s">
        <v>23</v>
      </c>
      <c r="D175" s="16" t="s">
        <v>24</v>
      </c>
      <c r="E175" s="17">
        <v>23.7</v>
      </c>
      <c r="F175" s="17">
        <v>16</v>
      </c>
      <c r="G175" s="17"/>
      <c r="H175" s="17">
        <v>9.0359999999999996</v>
      </c>
      <c r="I175" s="17">
        <v>38.125</v>
      </c>
      <c r="J175" s="17">
        <v>56.472999999999999</v>
      </c>
    </row>
    <row r="176" spans="1:12" ht="22.5" x14ac:dyDescent="0.2">
      <c r="A176" s="11" t="s">
        <v>187</v>
      </c>
      <c r="B176" s="12" t="s">
        <v>188</v>
      </c>
      <c r="C176" s="12"/>
      <c r="D176" s="12"/>
      <c r="E176" s="13">
        <v>576.1</v>
      </c>
      <c r="F176" s="13">
        <v>590</v>
      </c>
      <c r="G176" s="13">
        <v>-10.459</v>
      </c>
      <c r="H176" s="13">
        <v>489.99799999999999</v>
      </c>
      <c r="I176" s="13">
        <v>85.054000000000002</v>
      </c>
      <c r="J176" s="13">
        <v>83.051000000000002</v>
      </c>
    </row>
    <row r="177" spans="1:11" x14ac:dyDescent="0.2">
      <c r="A177" s="11" t="s">
        <v>717</v>
      </c>
      <c r="B177" s="12" t="s">
        <v>718</v>
      </c>
      <c r="C177" s="12"/>
      <c r="D177" s="12"/>
      <c r="E177" s="13">
        <v>521.1</v>
      </c>
      <c r="F177" s="13">
        <v>580</v>
      </c>
      <c r="G177" s="13">
        <v>-10.459</v>
      </c>
      <c r="H177" s="13">
        <v>489.524</v>
      </c>
      <c r="I177" s="13">
        <v>93.941000000000003</v>
      </c>
      <c r="J177" s="13">
        <v>84.400999999999996</v>
      </c>
    </row>
    <row r="178" spans="1:11" ht="45" x14ac:dyDescent="0.2">
      <c r="A178" s="11" t="s">
        <v>719</v>
      </c>
      <c r="B178" s="12" t="s">
        <v>720</v>
      </c>
      <c r="C178" s="12"/>
      <c r="D178" s="12"/>
      <c r="E178" s="13">
        <v>521.1</v>
      </c>
      <c r="F178" s="13">
        <v>580</v>
      </c>
      <c r="G178" s="13">
        <v>-10.459</v>
      </c>
      <c r="H178" s="13">
        <v>489.524</v>
      </c>
      <c r="I178" s="13">
        <v>93.941000000000003</v>
      </c>
      <c r="J178" s="13">
        <v>84.400999999999996</v>
      </c>
    </row>
    <row r="179" spans="1:11" ht="45" x14ac:dyDescent="0.2">
      <c r="A179" s="15" t="s">
        <v>719</v>
      </c>
      <c r="B179" s="16" t="s">
        <v>721</v>
      </c>
      <c r="C179" s="16" t="s">
        <v>23</v>
      </c>
      <c r="D179" s="16" t="s">
        <v>24</v>
      </c>
      <c r="E179" s="17">
        <v>521.1</v>
      </c>
      <c r="F179" s="17">
        <v>580</v>
      </c>
      <c r="G179" s="17">
        <v>-10.459</v>
      </c>
      <c r="H179" s="17">
        <v>489.524</v>
      </c>
      <c r="I179" s="17">
        <v>93.941000000000003</v>
      </c>
      <c r="J179" s="17">
        <v>84.400999999999996</v>
      </c>
    </row>
    <row r="180" spans="1:11" ht="22.5" x14ac:dyDescent="0.2">
      <c r="A180" s="11" t="s">
        <v>722</v>
      </c>
      <c r="B180" s="12" t="s">
        <v>723</v>
      </c>
      <c r="C180" s="12"/>
      <c r="D180" s="12"/>
      <c r="E180" s="13">
        <v>55</v>
      </c>
      <c r="F180" s="13">
        <v>10</v>
      </c>
      <c r="G180" s="13"/>
      <c r="H180" s="13">
        <v>0.47399999999999998</v>
      </c>
      <c r="I180" s="13">
        <v>0.86199999999999999</v>
      </c>
      <c r="J180" s="13">
        <v>4.742</v>
      </c>
    </row>
    <row r="181" spans="1:11" ht="45" x14ac:dyDescent="0.2">
      <c r="A181" s="11" t="s">
        <v>724</v>
      </c>
      <c r="B181" s="12" t="s">
        <v>725</v>
      </c>
      <c r="C181" s="12"/>
      <c r="D181" s="12"/>
      <c r="E181" s="13">
        <v>55</v>
      </c>
      <c r="F181" s="13">
        <v>10</v>
      </c>
      <c r="G181" s="13"/>
      <c r="H181" s="13">
        <v>0.47399999999999998</v>
      </c>
      <c r="I181" s="13">
        <v>0.86199999999999999</v>
      </c>
      <c r="J181" s="13">
        <v>4.742</v>
      </c>
    </row>
    <row r="182" spans="1:11" ht="45" x14ac:dyDescent="0.2">
      <c r="A182" s="15" t="s">
        <v>724</v>
      </c>
      <c r="B182" s="16" t="s">
        <v>726</v>
      </c>
      <c r="C182" s="16" t="s">
        <v>23</v>
      </c>
      <c r="D182" s="16" t="s">
        <v>24</v>
      </c>
      <c r="E182" s="17">
        <v>55</v>
      </c>
      <c r="F182" s="17">
        <v>10</v>
      </c>
      <c r="G182" s="17"/>
      <c r="H182" s="17">
        <v>0.47399999999999998</v>
      </c>
      <c r="I182" s="17">
        <v>0.86199999999999999</v>
      </c>
      <c r="J182" s="17">
        <v>4.742</v>
      </c>
    </row>
    <row r="183" spans="1:11" ht="37.5" customHeight="1" x14ac:dyDescent="0.2">
      <c r="A183" s="161" t="s">
        <v>917</v>
      </c>
      <c r="B183" s="162" t="s">
        <v>191</v>
      </c>
      <c r="C183" s="162"/>
      <c r="D183" s="162"/>
      <c r="E183" s="66">
        <v>53550</v>
      </c>
      <c r="F183" s="66">
        <v>56575.54</v>
      </c>
      <c r="G183" s="163">
        <v>6098.0929999999998</v>
      </c>
      <c r="H183" s="66">
        <v>45078.849000000002</v>
      </c>
      <c r="I183" s="66">
        <v>84.180999999999997</v>
      </c>
      <c r="J183" s="66">
        <v>79.679000000000002</v>
      </c>
    </row>
    <row r="184" spans="1:11" x14ac:dyDescent="0.2">
      <c r="A184" s="11" t="s">
        <v>192</v>
      </c>
      <c r="B184" s="12" t="s">
        <v>193</v>
      </c>
      <c r="C184" s="12"/>
      <c r="D184" s="12"/>
      <c r="E184" s="13">
        <v>53550</v>
      </c>
      <c r="F184" s="13">
        <v>53563</v>
      </c>
      <c r="G184" s="13">
        <v>6088.7169999999996</v>
      </c>
      <c r="H184" s="13">
        <v>41620.186999999998</v>
      </c>
      <c r="I184" s="13">
        <v>77.721999999999994</v>
      </c>
      <c r="J184" s="13">
        <v>77.703000000000003</v>
      </c>
    </row>
    <row r="185" spans="1:11" x14ac:dyDescent="0.2">
      <c r="A185" s="11" t="s">
        <v>194</v>
      </c>
      <c r="B185" s="12" t="s">
        <v>195</v>
      </c>
      <c r="C185" s="12"/>
      <c r="D185" s="12"/>
      <c r="E185" s="13">
        <v>53550</v>
      </c>
      <c r="F185" s="13">
        <v>53563</v>
      </c>
      <c r="G185" s="13">
        <v>6088.7169999999996</v>
      </c>
      <c r="H185" s="13">
        <v>41620.186999999998</v>
      </c>
      <c r="I185" s="13">
        <v>77.721999999999994</v>
      </c>
      <c r="J185" s="13">
        <v>77.703000000000003</v>
      </c>
    </row>
    <row r="186" spans="1:11" ht="33.75" x14ac:dyDescent="0.2">
      <c r="A186" s="11" t="s">
        <v>196</v>
      </c>
      <c r="B186" s="12" t="s">
        <v>197</v>
      </c>
      <c r="C186" s="12"/>
      <c r="D186" s="12"/>
      <c r="E186" s="13">
        <v>53550</v>
      </c>
      <c r="F186" s="13">
        <v>53563</v>
      </c>
      <c r="G186" s="13">
        <v>6088.7169999999996</v>
      </c>
      <c r="H186" s="13">
        <v>41620.186999999998</v>
      </c>
      <c r="I186" s="13">
        <v>77.721999999999994</v>
      </c>
      <c r="J186" s="13">
        <v>77.703000000000003</v>
      </c>
    </row>
    <row r="187" spans="1:11" ht="33.75" x14ac:dyDescent="0.2">
      <c r="A187" s="164" t="s">
        <v>196</v>
      </c>
      <c r="B187" s="165" t="s">
        <v>198</v>
      </c>
      <c r="C187" s="165" t="s">
        <v>23</v>
      </c>
      <c r="D187" s="165" t="s">
        <v>24</v>
      </c>
      <c r="E187" s="106">
        <v>100</v>
      </c>
      <c r="F187" s="106">
        <v>113</v>
      </c>
      <c r="G187" s="163">
        <v>11.275</v>
      </c>
      <c r="H187" s="106">
        <v>90.64</v>
      </c>
      <c r="I187" s="106">
        <v>90.64</v>
      </c>
      <c r="J187" s="106">
        <v>80.212000000000003</v>
      </c>
    </row>
    <row r="188" spans="1:11" ht="45" x14ac:dyDescent="0.2">
      <c r="A188" s="11" t="s">
        <v>199</v>
      </c>
      <c r="B188" s="12" t="s">
        <v>200</v>
      </c>
      <c r="C188" s="12"/>
      <c r="D188" s="12"/>
      <c r="E188" s="13">
        <v>53450</v>
      </c>
      <c r="F188" s="13">
        <v>52472</v>
      </c>
      <c r="G188" s="13">
        <v>6077.4430000000002</v>
      </c>
      <c r="H188" s="13">
        <v>40746.250999999997</v>
      </c>
      <c r="I188" s="13">
        <v>76.233000000000004</v>
      </c>
      <c r="J188" s="13">
        <v>77.653000000000006</v>
      </c>
    </row>
    <row r="189" spans="1:11" ht="58.5" customHeight="1" x14ac:dyDescent="0.2">
      <c r="A189" s="164" t="s">
        <v>199</v>
      </c>
      <c r="B189" s="165" t="s">
        <v>201</v>
      </c>
      <c r="C189" s="165" t="s">
        <v>23</v>
      </c>
      <c r="D189" s="165" t="s">
        <v>24</v>
      </c>
      <c r="E189" s="106">
        <v>53450</v>
      </c>
      <c r="F189" s="106">
        <v>52472</v>
      </c>
      <c r="G189" s="163">
        <v>6077.4430000000002</v>
      </c>
      <c r="H189" s="106">
        <v>40746.250999999997</v>
      </c>
      <c r="I189" s="106">
        <v>76.233000000000004</v>
      </c>
      <c r="J189" s="106">
        <v>77.653000000000006</v>
      </c>
      <c r="K189" s="67">
        <f>H189+H191</f>
        <v>41529.546999999999</v>
      </c>
    </row>
    <row r="190" spans="1:11" ht="67.5" x14ac:dyDescent="0.2">
      <c r="A190" s="11" t="s">
        <v>202</v>
      </c>
      <c r="B190" s="12" t="s">
        <v>203</v>
      </c>
      <c r="C190" s="12"/>
      <c r="D190" s="12"/>
      <c r="E190" s="13"/>
      <c r="F190" s="13">
        <v>978</v>
      </c>
      <c r="G190" s="13"/>
      <c r="H190" s="13">
        <v>783.29600000000005</v>
      </c>
      <c r="I190" s="13"/>
      <c r="J190" s="13">
        <v>80.091999999999999</v>
      </c>
    </row>
    <row r="191" spans="1:11" ht="58.5" customHeight="1" x14ac:dyDescent="0.2">
      <c r="A191" s="164" t="s">
        <v>202</v>
      </c>
      <c r="B191" s="165" t="s">
        <v>204</v>
      </c>
      <c r="C191" s="165" t="s">
        <v>23</v>
      </c>
      <c r="D191" s="165" t="s">
        <v>24</v>
      </c>
      <c r="E191" s="106"/>
      <c r="F191" s="106">
        <v>978</v>
      </c>
      <c r="G191" s="163"/>
      <c r="H191" s="106">
        <v>783.29600000000005</v>
      </c>
      <c r="I191" s="106"/>
      <c r="J191" s="106">
        <v>80.091999999999999</v>
      </c>
    </row>
    <row r="192" spans="1:11" x14ac:dyDescent="0.2">
      <c r="A192" s="11" t="s">
        <v>205</v>
      </c>
      <c r="B192" s="12" t="s">
        <v>206</v>
      </c>
      <c r="C192" s="12"/>
      <c r="D192" s="12"/>
      <c r="E192" s="13"/>
      <c r="F192" s="13">
        <v>3012.54</v>
      </c>
      <c r="G192" s="13">
        <v>9.3759999999999994</v>
      </c>
      <c r="H192" s="13">
        <v>3458.6619999999998</v>
      </c>
      <c r="I192" s="13"/>
      <c r="J192" s="13">
        <v>114.809</v>
      </c>
    </row>
    <row r="193" spans="1:11" x14ac:dyDescent="0.2">
      <c r="A193" s="11" t="s">
        <v>207</v>
      </c>
      <c r="B193" s="12" t="s">
        <v>208</v>
      </c>
      <c r="C193" s="12"/>
      <c r="D193" s="12"/>
      <c r="E193" s="13"/>
      <c r="F193" s="13">
        <v>3012.54</v>
      </c>
      <c r="G193" s="13">
        <v>9.3759999999999994</v>
      </c>
      <c r="H193" s="13">
        <v>3458.6619999999998</v>
      </c>
      <c r="I193" s="13"/>
      <c r="J193" s="13">
        <v>114.809</v>
      </c>
    </row>
    <row r="194" spans="1:11" ht="22.5" x14ac:dyDescent="0.2">
      <c r="A194" s="11" t="s">
        <v>209</v>
      </c>
      <c r="B194" s="12" t="s">
        <v>210</v>
      </c>
      <c r="C194" s="12"/>
      <c r="D194" s="12"/>
      <c r="E194" s="13"/>
      <c r="F194" s="13">
        <v>3012.54</v>
      </c>
      <c r="G194" s="13">
        <v>9.3759999999999994</v>
      </c>
      <c r="H194" s="13">
        <v>3458.6619999999998</v>
      </c>
      <c r="I194" s="13"/>
      <c r="J194" s="13">
        <v>114.809</v>
      </c>
    </row>
    <row r="195" spans="1:11" ht="33.75" x14ac:dyDescent="0.2">
      <c r="A195" s="11" t="s">
        <v>211</v>
      </c>
      <c r="B195" s="12" t="s">
        <v>212</v>
      </c>
      <c r="C195" s="12"/>
      <c r="D195" s="12"/>
      <c r="E195" s="13"/>
      <c r="F195" s="13">
        <v>3012.54</v>
      </c>
      <c r="G195" s="13">
        <v>9.3759999999999994</v>
      </c>
      <c r="H195" s="13">
        <v>3458.6619999999998</v>
      </c>
      <c r="I195" s="13"/>
      <c r="J195" s="13">
        <v>114.809</v>
      </c>
    </row>
    <row r="196" spans="1:11" ht="36.75" customHeight="1" x14ac:dyDescent="0.2">
      <c r="A196" s="164" t="s">
        <v>211</v>
      </c>
      <c r="B196" s="165" t="s">
        <v>556</v>
      </c>
      <c r="C196" s="165" t="s">
        <v>23</v>
      </c>
      <c r="D196" s="165" t="s">
        <v>24</v>
      </c>
      <c r="E196" s="106"/>
      <c r="F196" s="106">
        <v>301.42599999999999</v>
      </c>
      <c r="G196" s="163">
        <v>9.3759999999999994</v>
      </c>
      <c r="H196" s="106">
        <v>313.80200000000002</v>
      </c>
      <c r="I196" s="106"/>
      <c r="J196" s="106">
        <v>104.10599999999999</v>
      </c>
    </row>
    <row r="197" spans="1:11" ht="36.75" customHeight="1" x14ac:dyDescent="0.2">
      <c r="A197" s="164" t="s">
        <v>211</v>
      </c>
      <c r="B197" s="165" t="s">
        <v>213</v>
      </c>
      <c r="C197" s="165" t="s">
        <v>23</v>
      </c>
      <c r="D197" s="165" t="s">
        <v>24</v>
      </c>
      <c r="E197" s="106"/>
      <c r="F197" s="106">
        <v>2110.317</v>
      </c>
      <c r="G197" s="163"/>
      <c r="H197" s="106">
        <v>2544.0639999999999</v>
      </c>
      <c r="I197" s="106"/>
      <c r="J197" s="106">
        <v>120.554</v>
      </c>
    </row>
    <row r="198" spans="1:11" ht="36.75" customHeight="1" x14ac:dyDescent="0.2">
      <c r="A198" s="164" t="s">
        <v>211</v>
      </c>
      <c r="B198" s="165" t="s">
        <v>728</v>
      </c>
      <c r="C198" s="165" t="s">
        <v>23</v>
      </c>
      <c r="D198" s="165" t="s">
        <v>24</v>
      </c>
      <c r="E198" s="106"/>
      <c r="F198" s="106">
        <v>403.24900000000002</v>
      </c>
      <c r="G198" s="163"/>
      <c r="H198" s="106">
        <v>403.24900000000002</v>
      </c>
      <c r="I198" s="106"/>
      <c r="J198" s="106">
        <v>100</v>
      </c>
    </row>
    <row r="199" spans="1:11" ht="36.75" customHeight="1" x14ac:dyDescent="0.2">
      <c r="A199" s="164" t="s">
        <v>211</v>
      </c>
      <c r="B199" s="165" t="s">
        <v>853</v>
      </c>
      <c r="C199" s="165" t="s">
        <v>23</v>
      </c>
      <c r="D199" s="165" t="s">
        <v>24</v>
      </c>
      <c r="E199" s="106"/>
      <c r="F199" s="106">
        <v>23.952000000000002</v>
      </c>
      <c r="G199" s="163"/>
      <c r="H199" s="106">
        <v>23.952000000000002</v>
      </c>
      <c r="I199" s="106"/>
      <c r="J199" s="106">
        <v>100</v>
      </c>
    </row>
    <row r="200" spans="1:11" ht="36.75" customHeight="1" x14ac:dyDescent="0.2">
      <c r="A200" s="164" t="s">
        <v>211</v>
      </c>
      <c r="B200" s="165" t="s">
        <v>729</v>
      </c>
      <c r="C200" s="165" t="s">
        <v>23</v>
      </c>
      <c r="D200" s="165" t="s">
        <v>24</v>
      </c>
      <c r="E200" s="106"/>
      <c r="F200" s="106">
        <v>173.595</v>
      </c>
      <c r="G200" s="163"/>
      <c r="H200" s="106">
        <v>173.595</v>
      </c>
      <c r="I200" s="106"/>
      <c r="J200" s="106">
        <v>100</v>
      </c>
    </row>
    <row r="201" spans="1:11" ht="22.5" x14ac:dyDescent="0.2">
      <c r="A201" s="161" t="s">
        <v>214</v>
      </c>
      <c r="B201" s="162" t="s">
        <v>215</v>
      </c>
      <c r="C201" s="162"/>
      <c r="D201" s="162"/>
      <c r="E201" s="66">
        <v>894</v>
      </c>
      <c r="F201" s="66">
        <v>5367.46</v>
      </c>
      <c r="G201" s="163">
        <v>16.838000000000001</v>
      </c>
      <c r="H201" s="66">
        <v>5190.7420000000002</v>
      </c>
      <c r="I201" s="66">
        <v>580.62</v>
      </c>
      <c r="J201" s="66">
        <v>96.707999999999998</v>
      </c>
      <c r="K201" s="67"/>
    </row>
    <row r="202" spans="1:11" ht="67.5" x14ac:dyDescent="0.2">
      <c r="A202" s="164" t="s">
        <v>557</v>
      </c>
      <c r="B202" s="165" t="s">
        <v>558</v>
      </c>
      <c r="C202" s="165"/>
      <c r="D202" s="165"/>
      <c r="E202" s="106"/>
      <c r="F202" s="106">
        <v>72.007000000000005</v>
      </c>
      <c r="G202" s="163"/>
      <c r="H202" s="106">
        <v>72.007000000000005</v>
      </c>
      <c r="I202" s="106"/>
      <c r="J202" s="106">
        <v>100</v>
      </c>
    </row>
    <row r="203" spans="1:11" ht="90" x14ac:dyDescent="0.2">
      <c r="A203" s="14" t="s">
        <v>469</v>
      </c>
      <c r="B203" s="12" t="s">
        <v>559</v>
      </c>
      <c r="C203" s="12"/>
      <c r="D203" s="12"/>
      <c r="E203" s="13"/>
      <c r="F203" s="13">
        <v>72.007000000000005</v>
      </c>
      <c r="G203" s="13"/>
      <c r="H203" s="13">
        <v>72.007000000000005</v>
      </c>
      <c r="I203" s="13"/>
      <c r="J203" s="13">
        <v>100</v>
      </c>
    </row>
    <row r="204" spans="1:11" ht="90" x14ac:dyDescent="0.2">
      <c r="A204" s="14" t="s">
        <v>470</v>
      </c>
      <c r="B204" s="12" t="s">
        <v>471</v>
      </c>
      <c r="C204" s="12"/>
      <c r="D204" s="12"/>
      <c r="E204" s="13"/>
      <c r="F204" s="13">
        <v>72.007000000000005</v>
      </c>
      <c r="G204" s="13"/>
      <c r="H204" s="13">
        <v>72.007000000000005</v>
      </c>
      <c r="I204" s="13"/>
      <c r="J204" s="13">
        <v>100</v>
      </c>
    </row>
    <row r="205" spans="1:11" ht="78.75" x14ac:dyDescent="0.2">
      <c r="A205" s="18" t="s">
        <v>470</v>
      </c>
      <c r="B205" s="16" t="s">
        <v>472</v>
      </c>
      <c r="C205" s="16" t="s">
        <v>23</v>
      </c>
      <c r="D205" s="16" t="s">
        <v>24</v>
      </c>
      <c r="E205" s="17"/>
      <c r="F205" s="17">
        <v>72.007000000000005</v>
      </c>
      <c r="G205" s="17"/>
      <c r="H205" s="17">
        <v>72.007000000000005</v>
      </c>
      <c r="I205" s="17"/>
      <c r="J205" s="17">
        <v>100</v>
      </c>
    </row>
    <row r="206" spans="1:11" ht="48.75" customHeight="1" x14ac:dyDescent="0.2">
      <c r="A206" s="164" t="s">
        <v>216</v>
      </c>
      <c r="B206" s="165" t="s">
        <v>217</v>
      </c>
      <c r="C206" s="165"/>
      <c r="D206" s="165"/>
      <c r="E206" s="106">
        <v>894</v>
      </c>
      <c r="F206" s="106">
        <v>5289.7</v>
      </c>
      <c r="G206" s="163">
        <v>16.838000000000001</v>
      </c>
      <c r="H206" s="106">
        <v>5105.6390000000001</v>
      </c>
      <c r="I206" s="106">
        <v>571.101</v>
      </c>
      <c r="J206" s="106">
        <v>96.52</v>
      </c>
    </row>
    <row r="207" spans="1:11" ht="48.75" customHeight="1" x14ac:dyDescent="0.2">
      <c r="A207" s="164" t="s">
        <v>218</v>
      </c>
      <c r="B207" s="165" t="s">
        <v>219</v>
      </c>
      <c r="C207" s="165"/>
      <c r="D207" s="165"/>
      <c r="E207" s="106">
        <v>894</v>
      </c>
      <c r="F207" s="106">
        <v>4923.7</v>
      </c>
      <c r="G207" s="163">
        <v>16.838000000000001</v>
      </c>
      <c r="H207" s="106">
        <v>4739.6580000000004</v>
      </c>
      <c r="I207" s="106">
        <v>530.16300000000001</v>
      </c>
      <c r="J207" s="106">
        <v>96.262</v>
      </c>
      <c r="K207" s="67"/>
    </row>
    <row r="208" spans="1:11" ht="56.25" x14ac:dyDescent="0.2">
      <c r="A208" s="11" t="s">
        <v>731</v>
      </c>
      <c r="B208" s="12" t="s">
        <v>473</v>
      </c>
      <c r="C208" s="12"/>
      <c r="D208" s="12"/>
      <c r="E208" s="13">
        <v>300</v>
      </c>
      <c r="F208" s="13">
        <v>850</v>
      </c>
      <c r="G208" s="13">
        <v>0.81399999999999995</v>
      </c>
      <c r="H208" s="13">
        <v>917.34699999999998</v>
      </c>
      <c r="I208" s="13">
        <v>305.78199999999998</v>
      </c>
      <c r="J208" s="13">
        <v>107.923</v>
      </c>
    </row>
    <row r="209" spans="1:10" ht="56.25" x14ac:dyDescent="0.2">
      <c r="A209" s="171" t="s">
        <v>731</v>
      </c>
      <c r="B209" s="168" t="s">
        <v>474</v>
      </c>
      <c r="C209" s="168" t="s">
        <v>23</v>
      </c>
      <c r="D209" s="168" t="s">
        <v>24</v>
      </c>
      <c r="E209" s="169">
        <v>300</v>
      </c>
      <c r="F209" s="169">
        <v>850</v>
      </c>
      <c r="G209" s="169">
        <v>0.81399999999999995</v>
      </c>
      <c r="H209" s="170">
        <v>917.34699999999998</v>
      </c>
      <c r="I209" s="169">
        <v>305.78199999999998</v>
      </c>
      <c r="J209" s="169">
        <v>107.923</v>
      </c>
    </row>
    <row r="210" spans="1:10" ht="45" x14ac:dyDescent="0.2">
      <c r="A210" s="11" t="s">
        <v>220</v>
      </c>
      <c r="B210" s="12" t="s">
        <v>221</v>
      </c>
      <c r="C210" s="12"/>
      <c r="D210" s="12"/>
      <c r="E210" s="13">
        <v>594</v>
      </c>
      <c r="F210" s="13">
        <v>4073.7</v>
      </c>
      <c r="G210" s="13">
        <v>16.024000000000001</v>
      </c>
      <c r="H210" s="13">
        <v>3822.3110000000001</v>
      </c>
      <c r="I210" s="13">
        <v>643.48699999999997</v>
      </c>
      <c r="J210" s="13">
        <v>93.828999999999994</v>
      </c>
    </row>
    <row r="211" spans="1:10" ht="45" x14ac:dyDescent="0.2">
      <c r="A211" s="171" t="s">
        <v>220</v>
      </c>
      <c r="B211" s="168" t="s">
        <v>222</v>
      </c>
      <c r="C211" s="168" t="s">
        <v>23</v>
      </c>
      <c r="D211" s="168" t="s">
        <v>24</v>
      </c>
      <c r="E211" s="169">
        <v>294</v>
      </c>
      <c r="F211" s="169">
        <v>2953.7</v>
      </c>
      <c r="G211" s="169">
        <v>5.5590000000000002</v>
      </c>
      <c r="H211" s="169">
        <v>2601.6840000000002</v>
      </c>
      <c r="I211" s="169">
        <v>884.92700000000002</v>
      </c>
      <c r="J211" s="169">
        <v>88.081999999999994</v>
      </c>
    </row>
    <row r="212" spans="1:10" ht="45" x14ac:dyDescent="0.2">
      <c r="A212" s="171" t="s">
        <v>220</v>
      </c>
      <c r="B212" s="168" t="s">
        <v>223</v>
      </c>
      <c r="C212" s="168" t="s">
        <v>23</v>
      </c>
      <c r="D212" s="168" t="s">
        <v>24</v>
      </c>
      <c r="E212" s="169">
        <v>300</v>
      </c>
      <c r="F212" s="169">
        <v>1120</v>
      </c>
      <c r="G212" s="169">
        <v>10.465</v>
      </c>
      <c r="H212" s="170">
        <v>1220.627</v>
      </c>
      <c r="I212" s="169">
        <v>406.87599999999998</v>
      </c>
      <c r="J212" s="169">
        <v>108.985</v>
      </c>
    </row>
    <row r="213" spans="1:10" ht="48.75" customHeight="1" x14ac:dyDescent="0.2">
      <c r="A213" s="164" t="s">
        <v>918</v>
      </c>
      <c r="B213" s="165" t="s">
        <v>919</v>
      </c>
      <c r="C213" s="165"/>
      <c r="D213" s="165"/>
      <c r="E213" s="106"/>
      <c r="F213" s="106">
        <v>366</v>
      </c>
      <c r="G213" s="163"/>
      <c r="H213" s="106">
        <v>365.98099999999999</v>
      </c>
      <c r="I213" s="106"/>
      <c r="J213" s="106">
        <v>99.995000000000005</v>
      </c>
    </row>
    <row r="214" spans="1:10" ht="56.25" x14ac:dyDescent="0.2">
      <c r="A214" s="11" t="s">
        <v>920</v>
      </c>
      <c r="B214" s="12" t="s">
        <v>921</v>
      </c>
      <c r="C214" s="12"/>
      <c r="D214" s="12"/>
      <c r="E214" s="13"/>
      <c r="F214" s="13">
        <v>366</v>
      </c>
      <c r="G214" s="13"/>
      <c r="H214" s="13">
        <v>365.98099999999999</v>
      </c>
      <c r="I214" s="13"/>
      <c r="J214" s="13">
        <v>99.995000000000005</v>
      </c>
    </row>
    <row r="215" spans="1:10" ht="45" x14ac:dyDescent="0.2">
      <c r="A215" s="15" t="s">
        <v>920</v>
      </c>
      <c r="B215" s="16" t="s">
        <v>922</v>
      </c>
      <c r="C215" s="16" t="s">
        <v>23</v>
      </c>
      <c r="D215" s="16" t="s">
        <v>24</v>
      </c>
      <c r="E215" s="17"/>
      <c r="F215" s="17">
        <v>366</v>
      </c>
      <c r="G215" s="17"/>
      <c r="H215" s="17">
        <v>365.98099999999999</v>
      </c>
      <c r="I215" s="17"/>
      <c r="J215" s="17">
        <v>99.995000000000005</v>
      </c>
    </row>
    <row r="216" spans="1:10" ht="63.75" customHeight="1" x14ac:dyDescent="0.2">
      <c r="A216" s="164" t="s">
        <v>560</v>
      </c>
      <c r="B216" s="165" t="s">
        <v>561</v>
      </c>
      <c r="C216" s="165"/>
      <c r="D216" s="165"/>
      <c r="E216" s="106"/>
      <c r="F216" s="106">
        <v>5.7530000000000001</v>
      </c>
      <c r="G216" s="163"/>
      <c r="H216" s="106">
        <v>13.095000000000001</v>
      </c>
      <c r="I216" s="106"/>
      <c r="J216" s="106">
        <v>227.624</v>
      </c>
    </row>
    <row r="217" spans="1:10" ht="56.25" x14ac:dyDescent="0.2">
      <c r="A217" s="11" t="s">
        <v>562</v>
      </c>
      <c r="B217" s="12" t="s">
        <v>563</v>
      </c>
      <c r="C217" s="12"/>
      <c r="D217" s="12"/>
      <c r="E217" s="13"/>
      <c r="F217" s="13">
        <v>5.7530000000000001</v>
      </c>
      <c r="G217" s="13"/>
      <c r="H217" s="13">
        <v>13.095000000000001</v>
      </c>
      <c r="I217" s="13"/>
      <c r="J217" s="13">
        <v>227.624</v>
      </c>
    </row>
    <row r="218" spans="1:10" ht="78.75" x14ac:dyDescent="0.2">
      <c r="A218" s="14" t="s">
        <v>564</v>
      </c>
      <c r="B218" s="12" t="s">
        <v>565</v>
      </c>
      <c r="C218" s="12"/>
      <c r="D218" s="12"/>
      <c r="E218" s="13"/>
      <c r="F218" s="13">
        <v>5.7530000000000001</v>
      </c>
      <c r="G218" s="13"/>
      <c r="H218" s="13">
        <v>13.095000000000001</v>
      </c>
      <c r="I218" s="13"/>
      <c r="J218" s="13">
        <v>227.624</v>
      </c>
    </row>
    <row r="219" spans="1:10" ht="67.5" x14ac:dyDescent="0.2">
      <c r="A219" s="177" t="s">
        <v>564</v>
      </c>
      <c r="B219" s="178" t="s">
        <v>566</v>
      </c>
      <c r="C219" s="178" t="s">
        <v>23</v>
      </c>
      <c r="D219" s="178" t="s">
        <v>24</v>
      </c>
      <c r="E219" s="179"/>
      <c r="F219" s="179">
        <v>5.7530000000000001</v>
      </c>
      <c r="G219" s="179"/>
      <c r="H219" s="179">
        <v>13.095000000000001</v>
      </c>
      <c r="I219" s="179"/>
      <c r="J219" s="179">
        <v>227.624</v>
      </c>
    </row>
    <row r="220" spans="1:10" ht="30.75" customHeight="1" x14ac:dyDescent="0.2">
      <c r="A220" s="161" t="s">
        <v>224</v>
      </c>
      <c r="B220" s="162" t="s">
        <v>225</v>
      </c>
      <c r="C220" s="162"/>
      <c r="D220" s="162"/>
      <c r="E220" s="66">
        <v>4684.3</v>
      </c>
      <c r="F220" s="66">
        <v>4684.3</v>
      </c>
      <c r="G220" s="163">
        <v>1767.8209999999999</v>
      </c>
      <c r="H220" s="66">
        <v>6074.2420000000002</v>
      </c>
      <c r="I220" s="66">
        <v>129.672</v>
      </c>
      <c r="J220" s="66">
        <v>129.672</v>
      </c>
    </row>
    <row r="221" spans="1:10" ht="22.5" x14ac:dyDescent="0.2">
      <c r="A221" s="11" t="s">
        <v>226</v>
      </c>
      <c r="B221" s="12" t="s">
        <v>227</v>
      </c>
      <c r="C221" s="12"/>
      <c r="D221" s="12"/>
      <c r="E221" s="13">
        <v>267</v>
      </c>
      <c r="F221" s="13">
        <v>267</v>
      </c>
      <c r="G221" s="13">
        <v>10.817</v>
      </c>
      <c r="H221" s="13">
        <v>158.995</v>
      </c>
      <c r="I221" s="13">
        <v>59.548999999999999</v>
      </c>
      <c r="J221" s="13">
        <v>59.548999999999999</v>
      </c>
    </row>
    <row r="222" spans="1:10" ht="67.5" x14ac:dyDescent="0.2">
      <c r="A222" s="14" t="s">
        <v>568</v>
      </c>
      <c r="B222" s="12" t="s">
        <v>229</v>
      </c>
      <c r="C222" s="12"/>
      <c r="D222" s="12"/>
      <c r="E222" s="13">
        <v>253</v>
      </c>
      <c r="F222" s="13">
        <v>253</v>
      </c>
      <c r="G222" s="13">
        <v>9.6340000000000003</v>
      </c>
      <c r="H222" s="13">
        <v>134.00899999999999</v>
      </c>
      <c r="I222" s="13">
        <v>52.968000000000004</v>
      </c>
      <c r="J222" s="13">
        <v>52.968000000000004</v>
      </c>
    </row>
    <row r="223" spans="1:10" ht="67.5" x14ac:dyDescent="0.2">
      <c r="A223" s="14" t="s">
        <v>923</v>
      </c>
      <c r="B223" s="12" t="s">
        <v>231</v>
      </c>
      <c r="C223" s="12"/>
      <c r="D223" s="12"/>
      <c r="E223" s="13">
        <v>253</v>
      </c>
      <c r="F223" s="13">
        <v>253</v>
      </c>
      <c r="G223" s="13">
        <v>9.6340000000000003</v>
      </c>
      <c r="H223" s="13">
        <v>134.00899999999999</v>
      </c>
      <c r="I223" s="13">
        <v>52.968000000000004</v>
      </c>
      <c r="J223" s="13">
        <v>52.968000000000004</v>
      </c>
    </row>
    <row r="224" spans="1:10" s="102" customFormat="1" ht="67.5" x14ac:dyDescent="0.2">
      <c r="A224" s="118" t="s">
        <v>923</v>
      </c>
      <c r="B224" s="19" t="s">
        <v>232</v>
      </c>
      <c r="C224" s="19" t="s">
        <v>23</v>
      </c>
      <c r="D224" s="19" t="s">
        <v>24</v>
      </c>
      <c r="E224" s="89">
        <v>253</v>
      </c>
      <c r="F224" s="89">
        <v>253</v>
      </c>
      <c r="G224" s="89">
        <v>9.6340000000000003</v>
      </c>
      <c r="H224" s="89">
        <v>134.00899999999999</v>
      </c>
      <c r="I224" s="89">
        <v>52.968000000000004</v>
      </c>
      <c r="J224" s="89">
        <v>52.968000000000004</v>
      </c>
    </row>
    <row r="225" spans="1:10" ht="56.25" x14ac:dyDescent="0.2">
      <c r="A225" s="11" t="s">
        <v>233</v>
      </c>
      <c r="B225" s="12" t="s">
        <v>234</v>
      </c>
      <c r="C225" s="12"/>
      <c r="D225" s="12"/>
      <c r="E225" s="13">
        <v>14</v>
      </c>
      <c r="F225" s="13">
        <v>14</v>
      </c>
      <c r="G225" s="13">
        <v>1.1830000000000001</v>
      </c>
      <c r="H225" s="13">
        <v>24.986000000000001</v>
      </c>
      <c r="I225" s="13">
        <v>178.47200000000001</v>
      </c>
      <c r="J225" s="13">
        <v>178.47200000000001</v>
      </c>
    </row>
    <row r="226" spans="1:10" ht="90" x14ac:dyDescent="0.2">
      <c r="A226" s="14" t="s">
        <v>236</v>
      </c>
      <c r="B226" s="12" t="s">
        <v>237</v>
      </c>
      <c r="C226" s="12"/>
      <c r="D226" s="12"/>
      <c r="E226" s="13">
        <v>14</v>
      </c>
      <c r="F226" s="13">
        <v>14</v>
      </c>
      <c r="G226" s="13">
        <v>1.1830000000000001</v>
      </c>
      <c r="H226" s="13">
        <v>24.986000000000001</v>
      </c>
      <c r="I226" s="13">
        <v>178.47200000000001</v>
      </c>
      <c r="J226" s="13">
        <v>178.47200000000001</v>
      </c>
    </row>
    <row r="227" spans="1:10" s="102" customFormat="1" ht="78.75" x14ac:dyDescent="0.2">
      <c r="A227" s="118" t="s">
        <v>236</v>
      </c>
      <c r="B227" s="19" t="s">
        <v>238</v>
      </c>
      <c r="C227" s="19" t="s">
        <v>23</v>
      </c>
      <c r="D227" s="19" t="s">
        <v>24</v>
      </c>
      <c r="E227" s="89">
        <v>14</v>
      </c>
      <c r="F227" s="89">
        <v>14</v>
      </c>
      <c r="G227" s="89">
        <v>1.1830000000000001</v>
      </c>
      <c r="H227" s="89">
        <v>24.986000000000001</v>
      </c>
      <c r="I227" s="89">
        <v>178.47200000000001</v>
      </c>
      <c r="J227" s="89">
        <v>178.47200000000001</v>
      </c>
    </row>
    <row r="228" spans="1:10" ht="56.25" x14ac:dyDescent="0.2">
      <c r="A228" s="11" t="s">
        <v>239</v>
      </c>
      <c r="B228" s="12" t="s">
        <v>240</v>
      </c>
      <c r="C228" s="12"/>
      <c r="D228" s="12"/>
      <c r="E228" s="13">
        <v>2.2999999999999998</v>
      </c>
      <c r="F228" s="13">
        <v>2.2999999999999998</v>
      </c>
      <c r="G228" s="13">
        <v>1.5</v>
      </c>
      <c r="H228" s="13">
        <v>1.5</v>
      </c>
      <c r="I228" s="13">
        <v>65.216999999999999</v>
      </c>
      <c r="J228" s="13">
        <v>65.216999999999999</v>
      </c>
    </row>
    <row r="229" spans="1:10" ht="90" x14ac:dyDescent="0.2">
      <c r="A229" s="14" t="s">
        <v>242</v>
      </c>
      <c r="B229" s="12" t="s">
        <v>243</v>
      </c>
      <c r="C229" s="12"/>
      <c r="D229" s="12"/>
      <c r="E229" s="13">
        <v>2.2999999999999998</v>
      </c>
      <c r="F229" s="13">
        <v>2.2999999999999998</v>
      </c>
      <c r="G229" s="13">
        <v>1.5</v>
      </c>
      <c r="H229" s="13">
        <v>1.5</v>
      </c>
      <c r="I229" s="13">
        <v>65.216999999999999</v>
      </c>
      <c r="J229" s="13">
        <v>65.216999999999999</v>
      </c>
    </row>
    <row r="230" spans="1:10" s="102" customFormat="1" ht="78.75" x14ac:dyDescent="0.2">
      <c r="A230" s="118" t="s">
        <v>242</v>
      </c>
      <c r="B230" s="19" t="s">
        <v>244</v>
      </c>
      <c r="C230" s="19" t="s">
        <v>23</v>
      </c>
      <c r="D230" s="19" t="s">
        <v>24</v>
      </c>
      <c r="E230" s="89">
        <v>2.2999999999999998</v>
      </c>
      <c r="F230" s="89">
        <v>2.2999999999999998</v>
      </c>
      <c r="G230" s="89">
        <v>1.5</v>
      </c>
      <c r="H230" s="89">
        <v>1.5</v>
      </c>
      <c r="I230" s="89">
        <v>65.216999999999999</v>
      </c>
      <c r="J230" s="89">
        <v>65.216999999999999</v>
      </c>
    </row>
    <row r="231" spans="1:10" ht="56.25" x14ac:dyDescent="0.2">
      <c r="A231" s="11" t="s">
        <v>245</v>
      </c>
      <c r="B231" s="12" t="s">
        <v>246</v>
      </c>
      <c r="C231" s="12"/>
      <c r="D231" s="12"/>
      <c r="E231" s="13">
        <v>232.3</v>
      </c>
      <c r="F231" s="13">
        <v>232.3</v>
      </c>
      <c r="G231" s="13">
        <v>4</v>
      </c>
      <c r="H231" s="13">
        <v>32</v>
      </c>
      <c r="I231" s="13">
        <v>13.775</v>
      </c>
      <c r="J231" s="13">
        <v>13.775</v>
      </c>
    </row>
    <row r="232" spans="1:10" ht="56.25" x14ac:dyDescent="0.2">
      <c r="A232" s="11" t="s">
        <v>247</v>
      </c>
      <c r="B232" s="12" t="s">
        <v>248</v>
      </c>
      <c r="C232" s="12"/>
      <c r="D232" s="12"/>
      <c r="E232" s="13">
        <v>199</v>
      </c>
      <c r="F232" s="13">
        <v>199</v>
      </c>
      <c r="G232" s="13"/>
      <c r="H232" s="13">
        <v>18</v>
      </c>
      <c r="I232" s="13">
        <v>9.0449999999999999</v>
      </c>
      <c r="J232" s="13">
        <v>9.0449999999999999</v>
      </c>
    </row>
    <row r="233" spans="1:10" ht="90" x14ac:dyDescent="0.2">
      <c r="A233" s="14" t="s">
        <v>250</v>
      </c>
      <c r="B233" s="12" t="s">
        <v>251</v>
      </c>
      <c r="C233" s="12"/>
      <c r="D233" s="12"/>
      <c r="E233" s="13">
        <v>199</v>
      </c>
      <c r="F233" s="13">
        <v>199</v>
      </c>
      <c r="G233" s="13"/>
      <c r="H233" s="13">
        <v>18</v>
      </c>
      <c r="I233" s="13">
        <v>9.0449999999999999</v>
      </c>
      <c r="J233" s="13">
        <v>9.0449999999999999</v>
      </c>
    </row>
    <row r="234" spans="1:10" s="102" customFormat="1" ht="78.75" x14ac:dyDescent="0.2">
      <c r="A234" s="118" t="s">
        <v>250</v>
      </c>
      <c r="B234" s="19" t="s">
        <v>855</v>
      </c>
      <c r="C234" s="19" t="s">
        <v>23</v>
      </c>
      <c r="D234" s="19" t="s">
        <v>24</v>
      </c>
      <c r="E234" s="89">
        <v>199</v>
      </c>
      <c r="F234" s="89">
        <v>199</v>
      </c>
      <c r="G234" s="89"/>
      <c r="H234" s="89">
        <v>18</v>
      </c>
      <c r="I234" s="89">
        <v>9.0449999999999999</v>
      </c>
      <c r="J234" s="89">
        <v>9.0449999999999999</v>
      </c>
    </row>
    <row r="235" spans="1:10" ht="45" x14ac:dyDescent="0.2">
      <c r="A235" s="11" t="s">
        <v>252</v>
      </c>
      <c r="B235" s="12" t="s">
        <v>856</v>
      </c>
      <c r="C235" s="12"/>
      <c r="D235" s="12"/>
      <c r="E235" s="13">
        <v>33.299999999999997</v>
      </c>
      <c r="F235" s="13">
        <v>33.299999999999997</v>
      </c>
      <c r="G235" s="13">
        <v>4</v>
      </c>
      <c r="H235" s="13">
        <v>14</v>
      </c>
      <c r="I235" s="13">
        <v>42.042000000000002</v>
      </c>
      <c r="J235" s="13">
        <v>42.042000000000002</v>
      </c>
    </row>
    <row r="236" spans="1:10" ht="78.75" x14ac:dyDescent="0.2">
      <c r="A236" s="14" t="s">
        <v>569</v>
      </c>
      <c r="B236" s="12" t="s">
        <v>570</v>
      </c>
      <c r="C236" s="12"/>
      <c r="D236" s="12"/>
      <c r="E236" s="13">
        <v>33.299999999999997</v>
      </c>
      <c r="F236" s="13">
        <v>33.299999999999997</v>
      </c>
      <c r="G236" s="13">
        <v>4</v>
      </c>
      <c r="H236" s="13">
        <v>14</v>
      </c>
      <c r="I236" s="13">
        <v>42.042000000000002</v>
      </c>
      <c r="J236" s="13">
        <v>42.042000000000002</v>
      </c>
    </row>
    <row r="237" spans="1:10" s="102" customFormat="1" ht="67.5" x14ac:dyDescent="0.2">
      <c r="A237" s="118" t="s">
        <v>569</v>
      </c>
      <c r="B237" s="19" t="s">
        <v>732</v>
      </c>
      <c r="C237" s="19" t="s">
        <v>23</v>
      </c>
      <c r="D237" s="19" t="s">
        <v>24</v>
      </c>
      <c r="E237" s="89">
        <v>33.299999999999997</v>
      </c>
      <c r="F237" s="89">
        <v>33.299999999999997</v>
      </c>
      <c r="G237" s="89">
        <v>4</v>
      </c>
      <c r="H237" s="89">
        <v>14</v>
      </c>
      <c r="I237" s="89">
        <v>42.042000000000002</v>
      </c>
      <c r="J237" s="89">
        <v>42.042000000000002</v>
      </c>
    </row>
    <row r="238" spans="1:10" ht="101.25" x14ac:dyDescent="0.2">
      <c r="A238" s="14" t="s">
        <v>259</v>
      </c>
      <c r="B238" s="12" t="s">
        <v>260</v>
      </c>
      <c r="C238" s="12"/>
      <c r="D238" s="12"/>
      <c r="E238" s="13">
        <v>197.4</v>
      </c>
      <c r="F238" s="13">
        <v>197.4</v>
      </c>
      <c r="G238" s="13">
        <v>36.027000000000001</v>
      </c>
      <c r="H238" s="13">
        <v>81.724999999999994</v>
      </c>
      <c r="I238" s="13">
        <v>41.401000000000003</v>
      </c>
      <c r="J238" s="13">
        <v>41.401000000000003</v>
      </c>
    </row>
    <row r="239" spans="1:10" ht="33.75" x14ac:dyDescent="0.2">
      <c r="A239" s="11" t="s">
        <v>261</v>
      </c>
      <c r="B239" s="12" t="s">
        <v>262</v>
      </c>
      <c r="C239" s="12"/>
      <c r="D239" s="12"/>
      <c r="E239" s="13">
        <v>70</v>
      </c>
      <c r="F239" s="13">
        <v>70</v>
      </c>
      <c r="G239" s="13">
        <v>6.0270000000000001</v>
      </c>
      <c r="H239" s="13">
        <v>50.225000000000001</v>
      </c>
      <c r="I239" s="13">
        <v>71.748999999999995</v>
      </c>
      <c r="J239" s="13">
        <v>71.748999999999995</v>
      </c>
    </row>
    <row r="240" spans="1:10" s="102" customFormat="1" ht="33.75" x14ac:dyDescent="0.2">
      <c r="A240" s="114" t="s">
        <v>261</v>
      </c>
      <c r="B240" s="19" t="s">
        <v>858</v>
      </c>
      <c r="C240" s="19" t="s">
        <v>23</v>
      </c>
      <c r="D240" s="19" t="s">
        <v>24</v>
      </c>
      <c r="E240" s="89"/>
      <c r="F240" s="89"/>
      <c r="G240" s="89">
        <v>6.0270000000000001</v>
      </c>
      <c r="H240" s="89">
        <v>50.225000000000001</v>
      </c>
      <c r="I240" s="89"/>
      <c r="J240" s="89"/>
    </row>
    <row r="241" spans="1:10" s="176" customFormat="1" ht="67.5" x14ac:dyDescent="0.2">
      <c r="A241" s="180" t="s">
        <v>859</v>
      </c>
      <c r="B241" s="181" t="s">
        <v>860</v>
      </c>
      <c r="C241" s="181"/>
      <c r="D241" s="181"/>
      <c r="E241" s="182">
        <v>70</v>
      </c>
      <c r="F241" s="182">
        <v>70</v>
      </c>
      <c r="G241" s="182"/>
      <c r="H241" s="182"/>
      <c r="I241" s="182"/>
      <c r="J241" s="182"/>
    </row>
    <row r="242" spans="1:10" ht="67.5" x14ac:dyDescent="0.2">
      <c r="A242" s="15" t="s">
        <v>859</v>
      </c>
      <c r="B242" s="16" t="s">
        <v>924</v>
      </c>
      <c r="C242" s="16" t="s">
        <v>23</v>
      </c>
      <c r="D242" s="16" t="s">
        <v>24</v>
      </c>
      <c r="E242" s="17">
        <v>70</v>
      </c>
      <c r="F242" s="17">
        <v>70</v>
      </c>
      <c r="G242" s="17"/>
      <c r="H242" s="17"/>
      <c r="I242" s="17"/>
      <c r="J242" s="17"/>
    </row>
    <row r="243" spans="1:10" ht="33.75" x14ac:dyDescent="0.2">
      <c r="A243" s="11" t="s">
        <v>264</v>
      </c>
      <c r="B243" s="12" t="s">
        <v>265</v>
      </c>
      <c r="C243" s="12"/>
      <c r="D243" s="12"/>
      <c r="E243" s="13">
        <v>47.4</v>
      </c>
      <c r="F243" s="13">
        <v>47.4</v>
      </c>
      <c r="G243" s="13"/>
      <c r="H243" s="13">
        <v>1.5</v>
      </c>
      <c r="I243" s="13">
        <v>3.165</v>
      </c>
      <c r="J243" s="13">
        <v>3.165</v>
      </c>
    </row>
    <row r="244" spans="1:10" ht="56.25" x14ac:dyDescent="0.2">
      <c r="A244" s="11" t="s">
        <v>267</v>
      </c>
      <c r="B244" s="12" t="s">
        <v>268</v>
      </c>
      <c r="C244" s="12"/>
      <c r="D244" s="12"/>
      <c r="E244" s="13">
        <v>47.4</v>
      </c>
      <c r="F244" s="13">
        <v>47.4</v>
      </c>
      <c r="G244" s="13"/>
      <c r="H244" s="13">
        <v>1.5</v>
      </c>
      <c r="I244" s="13">
        <v>3.165</v>
      </c>
      <c r="J244" s="13">
        <v>3.165</v>
      </c>
    </row>
    <row r="245" spans="1:10" s="102" customFormat="1" ht="56.25" x14ac:dyDescent="0.2">
      <c r="A245" s="114" t="s">
        <v>267</v>
      </c>
      <c r="B245" s="19" t="s">
        <v>269</v>
      </c>
      <c r="C245" s="19" t="s">
        <v>23</v>
      </c>
      <c r="D245" s="19" t="s">
        <v>24</v>
      </c>
      <c r="E245" s="89">
        <v>47.4</v>
      </c>
      <c r="F245" s="89">
        <v>47.4</v>
      </c>
      <c r="G245" s="89"/>
      <c r="H245" s="89">
        <v>1.5</v>
      </c>
      <c r="I245" s="89">
        <v>3.165</v>
      </c>
      <c r="J245" s="89">
        <v>3.165</v>
      </c>
    </row>
    <row r="246" spans="1:10" ht="22.5" x14ac:dyDescent="0.2">
      <c r="A246" s="11" t="s">
        <v>270</v>
      </c>
      <c r="B246" s="12" t="s">
        <v>271</v>
      </c>
      <c r="C246" s="12"/>
      <c r="D246" s="12"/>
      <c r="E246" s="13">
        <v>80</v>
      </c>
      <c r="F246" s="13">
        <v>80</v>
      </c>
      <c r="G246" s="13"/>
      <c r="H246" s="13"/>
      <c r="I246" s="13"/>
      <c r="J246" s="13"/>
    </row>
    <row r="247" spans="1:10" ht="56.25" x14ac:dyDescent="0.2">
      <c r="A247" s="11" t="s">
        <v>273</v>
      </c>
      <c r="B247" s="12" t="s">
        <v>274</v>
      </c>
      <c r="C247" s="12"/>
      <c r="D247" s="12"/>
      <c r="E247" s="13">
        <v>80</v>
      </c>
      <c r="F247" s="13">
        <v>80</v>
      </c>
      <c r="G247" s="13"/>
      <c r="H247" s="13"/>
      <c r="I247" s="13"/>
      <c r="J247" s="13"/>
    </row>
    <row r="248" spans="1:10" s="102" customFormat="1" ht="56.25" x14ac:dyDescent="0.2">
      <c r="A248" s="114" t="s">
        <v>273</v>
      </c>
      <c r="B248" s="19" t="s">
        <v>862</v>
      </c>
      <c r="C248" s="19" t="s">
        <v>23</v>
      </c>
      <c r="D248" s="19" t="s">
        <v>24</v>
      </c>
      <c r="E248" s="89">
        <v>70</v>
      </c>
      <c r="F248" s="89">
        <v>70</v>
      </c>
      <c r="G248" s="89"/>
      <c r="H248" s="89"/>
      <c r="I248" s="89"/>
      <c r="J248" s="89"/>
    </row>
    <row r="249" spans="1:10" s="102" customFormat="1" ht="56.25" x14ac:dyDescent="0.2">
      <c r="A249" s="114" t="s">
        <v>273</v>
      </c>
      <c r="B249" s="19" t="s">
        <v>275</v>
      </c>
      <c r="C249" s="19" t="s">
        <v>23</v>
      </c>
      <c r="D249" s="19" t="s">
        <v>24</v>
      </c>
      <c r="E249" s="89">
        <v>10</v>
      </c>
      <c r="F249" s="89">
        <v>10</v>
      </c>
      <c r="G249" s="89"/>
      <c r="H249" s="89"/>
      <c r="I249" s="89"/>
      <c r="J249" s="89"/>
    </row>
    <row r="250" spans="1:10" ht="22.5" x14ac:dyDescent="0.2">
      <c r="A250" s="11" t="s">
        <v>925</v>
      </c>
      <c r="B250" s="12" t="s">
        <v>926</v>
      </c>
      <c r="C250" s="12"/>
      <c r="D250" s="12"/>
      <c r="E250" s="13"/>
      <c r="F250" s="13"/>
      <c r="G250" s="13">
        <v>30</v>
      </c>
      <c r="H250" s="13">
        <v>30</v>
      </c>
      <c r="I250" s="13"/>
      <c r="J250" s="13"/>
    </row>
    <row r="251" spans="1:10" ht="45" x14ac:dyDescent="0.2">
      <c r="A251" s="11" t="s">
        <v>927</v>
      </c>
      <c r="B251" s="12" t="s">
        <v>928</v>
      </c>
      <c r="C251" s="12"/>
      <c r="D251" s="12"/>
      <c r="E251" s="13"/>
      <c r="F251" s="13"/>
      <c r="G251" s="13">
        <v>30</v>
      </c>
      <c r="H251" s="13">
        <v>30</v>
      </c>
      <c r="I251" s="13"/>
      <c r="J251" s="13"/>
    </row>
    <row r="252" spans="1:10" ht="67.5" x14ac:dyDescent="0.2">
      <c r="A252" s="14" t="s">
        <v>929</v>
      </c>
      <c r="B252" s="12" t="s">
        <v>930</v>
      </c>
      <c r="C252" s="12"/>
      <c r="D252" s="12"/>
      <c r="E252" s="13"/>
      <c r="F252" s="13"/>
      <c r="G252" s="13">
        <v>30</v>
      </c>
      <c r="H252" s="13">
        <v>30</v>
      </c>
      <c r="I252" s="13"/>
      <c r="J252" s="13"/>
    </row>
    <row r="253" spans="1:10" s="102" customFormat="1" ht="67.5" x14ac:dyDescent="0.2">
      <c r="A253" s="118" t="s">
        <v>929</v>
      </c>
      <c r="B253" s="19" t="s">
        <v>931</v>
      </c>
      <c r="C253" s="19" t="s">
        <v>23</v>
      </c>
      <c r="D253" s="19" t="s">
        <v>24</v>
      </c>
      <c r="E253" s="89"/>
      <c r="F253" s="89"/>
      <c r="G253" s="89">
        <v>30</v>
      </c>
      <c r="H253" s="89">
        <v>30</v>
      </c>
      <c r="I253" s="89"/>
      <c r="J253" s="89"/>
    </row>
    <row r="254" spans="1:10" ht="56.25" x14ac:dyDescent="0.2">
      <c r="A254" s="11" t="s">
        <v>276</v>
      </c>
      <c r="B254" s="12" t="s">
        <v>277</v>
      </c>
      <c r="C254" s="12"/>
      <c r="D254" s="12"/>
      <c r="E254" s="13">
        <v>631.20000000000005</v>
      </c>
      <c r="F254" s="13">
        <v>631.20000000000005</v>
      </c>
      <c r="G254" s="13">
        <v>30.657</v>
      </c>
      <c r="H254" s="13">
        <v>783.55399999999997</v>
      </c>
      <c r="I254" s="13">
        <v>124.137</v>
      </c>
      <c r="J254" s="13">
        <v>124.137</v>
      </c>
    </row>
    <row r="255" spans="1:10" ht="90" x14ac:dyDescent="0.2">
      <c r="A255" s="14" t="s">
        <v>280</v>
      </c>
      <c r="B255" s="12" t="s">
        <v>281</v>
      </c>
      <c r="C255" s="12"/>
      <c r="D255" s="12"/>
      <c r="E255" s="13">
        <v>631.20000000000005</v>
      </c>
      <c r="F255" s="13">
        <v>631.20000000000005</v>
      </c>
      <c r="G255" s="13">
        <v>30.657</v>
      </c>
      <c r="H255" s="13">
        <v>783.55399999999997</v>
      </c>
      <c r="I255" s="13">
        <v>124.137</v>
      </c>
      <c r="J255" s="13">
        <v>124.137</v>
      </c>
    </row>
    <row r="256" spans="1:10" s="102" customFormat="1" ht="78.75" x14ac:dyDescent="0.2">
      <c r="A256" s="118" t="s">
        <v>280</v>
      </c>
      <c r="B256" s="19" t="s">
        <v>282</v>
      </c>
      <c r="C256" s="19" t="s">
        <v>23</v>
      </c>
      <c r="D256" s="19" t="s">
        <v>24</v>
      </c>
      <c r="E256" s="89">
        <v>614.20000000000005</v>
      </c>
      <c r="F256" s="89">
        <v>614.20000000000005</v>
      </c>
      <c r="G256" s="89">
        <v>26</v>
      </c>
      <c r="H256" s="89">
        <v>732.10500000000002</v>
      </c>
      <c r="I256" s="89">
        <v>119.197</v>
      </c>
      <c r="J256" s="89">
        <v>119.197</v>
      </c>
    </row>
    <row r="257" spans="1:10" s="102" customFormat="1" ht="78.75" x14ac:dyDescent="0.2">
      <c r="A257" s="118" t="s">
        <v>280</v>
      </c>
      <c r="B257" s="19" t="s">
        <v>932</v>
      </c>
      <c r="C257" s="19" t="s">
        <v>23</v>
      </c>
      <c r="D257" s="19" t="s">
        <v>24</v>
      </c>
      <c r="E257" s="89"/>
      <c r="F257" s="89"/>
      <c r="G257" s="89"/>
      <c r="H257" s="89">
        <v>0.5</v>
      </c>
      <c r="I257" s="89"/>
      <c r="J257" s="89"/>
    </row>
    <row r="258" spans="1:10" s="102" customFormat="1" ht="78.75" x14ac:dyDescent="0.2">
      <c r="A258" s="118" t="s">
        <v>280</v>
      </c>
      <c r="B258" s="19" t="s">
        <v>283</v>
      </c>
      <c r="C258" s="19" t="s">
        <v>23</v>
      </c>
      <c r="D258" s="19" t="s">
        <v>24</v>
      </c>
      <c r="E258" s="89">
        <v>17</v>
      </c>
      <c r="F258" s="89">
        <v>17</v>
      </c>
      <c r="G258" s="89">
        <v>4.657</v>
      </c>
      <c r="H258" s="89">
        <v>50.948999999999998</v>
      </c>
      <c r="I258" s="89">
        <v>299.697</v>
      </c>
      <c r="J258" s="89">
        <v>299.697</v>
      </c>
    </row>
    <row r="259" spans="1:10" ht="22.5" x14ac:dyDescent="0.2">
      <c r="A259" s="11" t="s">
        <v>284</v>
      </c>
      <c r="B259" s="12" t="s">
        <v>285</v>
      </c>
      <c r="C259" s="12"/>
      <c r="D259" s="12"/>
      <c r="E259" s="13">
        <v>185.3</v>
      </c>
      <c r="F259" s="13">
        <v>185.3</v>
      </c>
      <c r="G259" s="13">
        <v>182.52099999999999</v>
      </c>
      <c r="H259" s="13">
        <v>393.49200000000002</v>
      </c>
      <c r="I259" s="13">
        <v>212.35400000000001</v>
      </c>
      <c r="J259" s="13">
        <v>212.35400000000001</v>
      </c>
    </row>
    <row r="260" spans="1:10" ht="45" x14ac:dyDescent="0.2">
      <c r="A260" s="11" t="s">
        <v>286</v>
      </c>
      <c r="B260" s="12" t="s">
        <v>287</v>
      </c>
      <c r="C260" s="12"/>
      <c r="D260" s="12"/>
      <c r="E260" s="13">
        <v>15.3</v>
      </c>
      <c r="F260" s="13">
        <v>15.3</v>
      </c>
      <c r="G260" s="13">
        <v>22</v>
      </c>
      <c r="H260" s="13">
        <v>28</v>
      </c>
      <c r="I260" s="13">
        <v>183.00700000000001</v>
      </c>
      <c r="J260" s="13">
        <v>183.00700000000001</v>
      </c>
    </row>
    <row r="261" spans="1:10" ht="56.25" x14ac:dyDescent="0.2">
      <c r="A261" s="11" t="s">
        <v>288</v>
      </c>
      <c r="B261" s="12" t="s">
        <v>289</v>
      </c>
      <c r="C261" s="12"/>
      <c r="D261" s="12"/>
      <c r="E261" s="13">
        <v>15.3</v>
      </c>
      <c r="F261" s="13">
        <v>15.3</v>
      </c>
      <c r="G261" s="13">
        <v>22</v>
      </c>
      <c r="H261" s="13">
        <v>28</v>
      </c>
      <c r="I261" s="13">
        <v>183.00700000000001</v>
      </c>
      <c r="J261" s="13">
        <v>183.00700000000001</v>
      </c>
    </row>
    <row r="262" spans="1:10" ht="90" x14ac:dyDescent="0.2">
      <c r="A262" s="14" t="s">
        <v>291</v>
      </c>
      <c r="B262" s="12" t="s">
        <v>292</v>
      </c>
      <c r="C262" s="12"/>
      <c r="D262" s="12"/>
      <c r="E262" s="13">
        <v>15.3</v>
      </c>
      <c r="F262" s="13">
        <v>15.3</v>
      </c>
      <c r="G262" s="13">
        <v>22</v>
      </c>
      <c r="H262" s="13">
        <v>28</v>
      </c>
      <c r="I262" s="13">
        <v>183.00700000000001</v>
      </c>
      <c r="J262" s="13">
        <v>183.00700000000001</v>
      </c>
    </row>
    <row r="263" spans="1:10" s="102" customFormat="1" ht="78.75" x14ac:dyDescent="0.2">
      <c r="A263" s="118" t="s">
        <v>291</v>
      </c>
      <c r="B263" s="19" t="s">
        <v>293</v>
      </c>
      <c r="C263" s="19" t="s">
        <v>23</v>
      </c>
      <c r="D263" s="19" t="s">
        <v>24</v>
      </c>
      <c r="E263" s="89">
        <v>15.3</v>
      </c>
      <c r="F263" s="89">
        <v>15.3</v>
      </c>
      <c r="G263" s="89">
        <v>22</v>
      </c>
      <c r="H263" s="89">
        <v>28</v>
      </c>
      <c r="I263" s="89">
        <v>183.00700000000001</v>
      </c>
      <c r="J263" s="89">
        <v>183.00700000000001</v>
      </c>
    </row>
    <row r="264" spans="1:10" ht="22.5" x14ac:dyDescent="0.2">
      <c r="A264" s="11" t="s">
        <v>294</v>
      </c>
      <c r="B264" s="12" t="s">
        <v>295</v>
      </c>
      <c r="C264" s="12"/>
      <c r="D264" s="12"/>
      <c r="E264" s="13">
        <v>170</v>
      </c>
      <c r="F264" s="13">
        <v>170</v>
      </c>
      <c r="G264" s="13">
        <v>160.52099999999999</v>
      </c>
      <c r="H264" s="13">
        <v>365.49200000000002</v>
      </c>
      <c r="I264" s="13">
        <v>214.995</v>
      </c>
      <c r="J264" s="13">
        <v>214.995</v>
      </c>
    </row>
    <row r="265" spans="1:10" ht="56.25" x14ac:dyDescent="0.2">
      <c r="A265" s="11" t="s">
        <v>297</v>
      </c>
      <c r="B265" s="12" t="s">
        <v>298</v>
      </c>
      <c r="C265" s="12"/>
      <c r="D265" s="12"/>
      <c r="E265" s="13">
        <v>170</v>
      </c>
      <c r="F265" s="13">
        <v>170</v>
      </c>
      <c r="G265" s="13">
        <v>160.52099999999999</v>
      </c>
      <c r="H265" s="13">
        <v>365.49200000000002</v>
      </c>
      <c r="I265" s="13">
        <v>214.995</v>
      </c>
      <c r="J265" s="13">
        <v>214.995</v>
      </c>
    </row>
    <row r="266" spans="1:10" s="102" customFormat="1" ht="56.25" x14ac:dyDescent="0.2">
      <c r="A266" s="114" t="s">
        <v>297</v>
      </c>
      <c r="B266" s="19" t="s">
        <v>299</v>
      </c>
      <c r="C266" s="19" t="s">
        <v>23</v>
      </c>
      <c r="D266" s="19" t="s">
        <v>24</v>
      </c>
      <c r="E266" s="89">
        <v>170</v>
      </c>
      <c r="F266" s="89">
        <v>170</v>
      </c>
      <c r="G266" s="89">
        <v>160.52099999999999</v>
      </c>
      <c r="H266" s="89">
        <v>365.49200000000002</v>
      </c>
      <c r="I266" s="89">
        <v>214.995</v>
      </c>
      <c r="J266" s="89">
        <v>214.995</v>
      </c>
    </row>
    <row r="267" spans="1:10" ht="56.25" x14ac:dyDescent="0.2">
      <c r="A267" s="11" t="s">
        <v>300</v>
      </c>
      <c r="B267" s="12" t="s">
        <v>301</v>
      </c>
      <c r="C267" s="12"/>
      <c r="D267" s="12"/>
      <c r="E267" s="13">
        <v>31.3</v>
      </c>
      <c r="F267" s="13">
        <v>31.3</v>
      </c>
      <c r="G267" s="13"/>
      <c r="H267" s="13"/>
      <c r="I267" s="13"/>
      <c r="J267" s="13"/>
    </row>
    <row r="268" spans="1:10" ht="67.5" x14ac:dyDescent="0.2">
      <c r="A268" s="11" t="s">
        <v>302</v>
      </c>
      <c r="B268" s="12" t="s">
        <v>303</v>
      </c>
      <c r="C268" s="12"/>
      <c r="D268" s="12"/>
      <c r="E268" s="13">
        <v>31.3</v>
      </c>
      <c r="F268" s="13">
        <v>31.3</v>
      </c>
      <c r="G268" s="13"/>
      <c r="H268" s="13"/>
      <c r="I268" s="13"/>
      <c r="J268" s="13"/>
    </row>
    <row r="269" spans="1:10" s="102" customFormat="1" ht="56.25" x14ac:dyDescent="0.2">
      <c r="A269" s="114" t="s">
        <v>302</v>
      </c>
      <c r="B269" s="19" t="s">
        <v>304</v>
      </c>
      <c r="C269" s="19" t="s">
        <v>23</v>
      </c>
      <c r="D269" s="19" t="s">
        <v>24</v>
      </c>
      <c r="E269" s="89">
        <v>31.3</v>
      </c>
      <c r="F269" s="89">
        <v>31.3</v>
      </c>
      <c r="G269" s="89"/>
      <c r="H269" s="89"/>
      <c r="I269" s="89"/>
      <c r="J269" s="89"/>
    </row>
    <row r="270" spans="1:10" ht="22.5" x14ac:dyDescent="0.2">
      <c r="A270" s="11" t="s">
        <v>305</v>
      </c>
      <c r="B270" s="12" t="s">
        <v>306</v>
      </c>
      <c r="C270" s="12"/>
      <c r="D270" s="12"/>
      <c r="E270" s="13">
        <v>20</v>
      </c>
      <c r="F270" s="13">
        <v>20</v>
      </c>
      <c r="G270" s="13">
        <v>7.75</v>
      </c>
      <c r="H270" s="13">
        <v>219.35</v>
      </c>
      <c r="I270" s="13">
        <v>1096.75</v>
      </c>
      <c r="J270" s="13">
        <v>1096.75</v>
      </c>
    </row>
    <row r="271" spans="1:10" ht="33.75" x14ac:dyDescent="0.2">
      <c r="A271" s="11" t="s">
        <v>307</v>
      </c>
      <c r="B271" s="12" t="s">
        <v>308</v>
      </c>
      <c r="C271" s="12"/>
      <c r="D271" s="12"/>
      <c r="E271" s="13">
        <v>20</v>
      </c>
      <c r="F271" s="13">
        <v>20</v>
      </c>
      <c r="G271" s="13">
        <v>7.75</v>
      </c>
      <c r="H271" s="13">
        <v>219.35</v>
      </c>
      <c r="I271" s="13">
        <v>1096.75</v>
      </c>
      <c r="J271" s="13">
        <v>1096.75</v>
      </c>
    </row>
    <row r="272" spans="1:10" s="102" customFormat="1" ht="33.75" x14ac:dyDescent="0.2">
      <c r="A272" s="114" t="s">
        <v>307</v>
      </c>
      <c r="B272" s="19" t="s">
        <v>933</v>
      </c>
      <c r="C272" s="19" t="s">
        <v>23</v>
      </c>
      <c r="D272" s="19" t="s">
        <v>24</v>
      </c>
      <c r="E272" s="89"/>
      <c r="F272" s="89"/>
      <c r="G272" s="89"/>
      <c r="H272" s="89">
        <v>0.4</v>
      </c>
      <c r="I272" s="89"/>
      <c r="J272" s="89"/>
    </row>
    <row r="273" spans="1:10" ht="67.5" x14ac:dyDescent="0.2">
      <c r="A273" s="11" t="s">
        <v>310</v>
      </c>
      <c r="B273" s="12" t="s">
        <v>311</v>
      </c>
      <c r="C273" s="12"/>
      <c r="D273" s="12"/>
      <c r="E273" s="13">
        <v>20</v>
      </c>
      <c r="F273" s="13">
        <v>20</v>
      </c>
      <c r="G273" s="13">
        <v>7.75</v>
      </c>
      <c r="H273" s="13">
        <v>218.95</v>
      </c>
      <c r="I273" s="13">
        <v>1094.75</v>
      </c>
      <c r="J273" s="13">
        <v>1094.75</v>
      </c>
    </row>
    <row r="274" spans="1:10" s="102" customFormat="1" ht="67.5" x14ac:dyDescent="0.2">
      <c r="A274" s="114" t="s">
        <v>310</v>
      </c>
      <c r="B274" s="19" t="s">
        <v>312</v>
      </c>
      <c r="C274" s="19" t="s">
        <v>23</v>
      </c>
      <c r="D274" s="19" t="s">
        <v>24</v>
      </c>
      <c r="E274" s="89">
        <v>20</v>
      </c>
      <c r="F274" s="89">
        <v>20</v>
      </c>
      <c r="G274" s="89">
        <v>7.75</v>
      </c>
      <c r="H274" s="89">
        <v>218.95</v>
      </c>
      <c r="I274" s="89">
        <v>1094.75</v>
      </c>
      <c r="J274" s="89">
        <v>1094.75</v>
      </c>
    </row>
    <row r="275" spans="1:10" ht="56.25" x14ac:dyDescent="0.2">
      <c r="A275" s="11" t="s">
        <v>313</v>
      </c>
      <c r="B275" s="12" t="s">
        <v>314</v>
      </c>
      <c r="C275" s="12"/>
      <c r="D275" s="12"/>
      <c r="E275" s="13">
        <v>406.8</v>
      </c>
      <c r="F275" s="13">
        <v>406.8</v>
      </c>
      <c r="G275" s="13">
        <v>928.13699999999994</v>
      </c>
      <c r="H275" s="13">
        <v>1043.2819999999999</v>
      </c>
      <c r="I275" s="13">
        <v>256.46100000000001</v>
      </c>
      <c r="J275" s="13">
        <v>256.46100000000001</v>
      </c>
    </row>
    <row r="276" spans="1:10" s="186" customFormat="1" ht="56.25" x14ac:dyDescent="0.2">
      <c r="A276" s="183" t="s">
        <v>313</v>
      </c>
      <c r="B276" s="184" t="s">
        <v>735</v>
      </c>
      <c r="C276" s="184" t="s">
        <v>23</v>
      </c>
      <c r="D276" s="184" t="s">
        <v>24</v>
      </c>
      <c r="E276" s="185"/>
      <c r="F276" s="185"/>
      <c r="G276" s="185">
        <v>900</v>
      </c>
      <c r="H276" s="185">
        <v>900</v>
      </c>
      <c r="I276" s="185"/>
      <c r="J276" s="185"/>
    </row>
    <row r="277" spans="1:10" ht="90" x14ac:dyDescent="0.2">
      <c r="A277" s="14" t="s">
        <v>315</v>
      </c>
      <c r="B277" s="12" t="s">
        <v>316</v>
      </c>
      <c r="C277" s="12"/>
      <c r="D277" s="12"/>
      <c r="E277" s="13">
        <v>406.8</v>
      </c>
      <c r="F277" s="13">
        <v>406.8</v>
      </c>
      <c r="G277" s="13">
        <v>28.137</v>
      </c>
      <c r="H277" s="13">
        <v>143.28200000000001</v>
      </c>
      <c r="I277" s="13">
        <v>35.222000000000001</v>
      </c>
      <c r="J277" s="13">
        <v>35.222000000000001</v>
      </c>
    </row>
    <row r="278" spans="1:10" s="102" customFormat="1" ht="90" x14ac:dyDescent="0.2">
      <c r="A278" s="118" t="s">
        <v>315</v>
      </c>
      <c r="B278" s="19" t="s">
        <v>934</v>
      </c>
      <c r="C278" s="19" t="s">
        <v>23</v>
      </c>
      <c r="D278" s="19" t="s">
        <v>24</v>
      </c>
      <c r="E278" s="89"/>
      <c r="F278" s="89"/>
      <c r="G278" s="89"/>
      <c r="H278" s="89">
        <v>15</v>
      </c>
      <c r="I278" s="89"/>
      <c r="J278" s="89"/>
    </row>
    <row r="279" spans="1:10" s="102" customFormat="1" ht="90" x14ac:dyDescent="0.2">
      <c r="A279" s="118" t="s">
        <v>315</v>
      </c>
      <c r="B279" s="19" t="s">
        <v>736</v>
      </c>
      <c r="C279" s="19" t="s">
        <v>23</v>
      </c>
      <c r="D279" s="19" t="s">
        <v>24</v>
      </c>
      <c r="E279" s="89">
        <v>38.4</v>
      </c>
      <c r="F279" s="89">
        <v>38.4</v>
      </c>
      <c r="G279" s="89"/>
      <c r="H279" s="89"/>
      <c r="I279" s="89"/>
      <c r="J279" s="89"/>
    </row>
    <row r="280" spans="1:10" s="102" customFormat="1" ht="90" x14ac:dyDescent="0.2">
      <c r="A280" s="118" t="s">
        <v>315</v>
      </c>
      <c r="B280" s="19" t="s">
        <v>317</v>
      </c>
      <c r="C280" s="19" t="s">
        <v>23</v>
      </c>
      <c r="D280" s="19" t="s">
        <v>24</v>
      </c>
      <c r="E280" s="89">
        <v>160</v>
      </c>
      <c r="F280" s="89">
        <v>160</v>
      </c>
      <c r="G280" s="89">
        <v>28.137</v>
      </c>
      <c r="H280" s="89">
        <v>128.28200000000001</v>
      </c>
      <c r="I280" s="89">
        <v>80.176000000000002</v>
      </c>
      <c r="J280" s="89">
        <v>80.176000000000002</v>
      </c>
    </row>
    <row r="281" spans="1:10" s="186" customFormat="1" ht="90" x14ac:dyDescent="0.2">
      <c r="A281" s="187" t="s">
        <v>315</v>
      </c>
      <c r="B281" s="184" t="s">
        <v>935</v>
      </c>
      <c r="C281" s="184" t="s">
        <v>23</v>
      </c>
      <c r="D281" s="184" t="s">
        <v>24</v>
      </c>
      <c r="E281" s="185">
        <v>208.4</v>
      </c>
      <c r="F281" s="185">
        <v>208.4</v>
      </c>
      <c r="G281" s="185"/>
      <c r="H281" s="185"/>
      <c r="I281" s="185"/>
      <c r="J281" s="185"/>
    </row>
    <row r="282" spans="1:10" ht="22.5" x14ac:dyDescent="0.2">
      <c r="A282" s="11" t="s">
        <v>318</v>
      </c>
      <c r="B282" s="12" t="s">
        <v>319</v>
      </c>
      <c r="C282" s="12"/>
      <c r="D282" s="12"/>
      <c r="E282" s="13">
        <v>2710.7</v>
      </c>
      <c r="F282" s="13">
        <v>2710.7</v>
      </c>
      <c r="G282" s="13">
        <v>566.41200000000003</v>
      </c>
      <c r="H282" s="13">
        <v>3360.3449999999998</v>
      </c>
      <c r="I282" s="13">
        <v>123.96599999999999</v>
      </c>
      <c r="J282" s="13">
        <v>123.96599999999999</v>
      </c>
    </row>
    <row r="283" spans="1:10" ht="33.75" x14ac:dyDescent="0.2">
      <c r="A283" s="11" t="s">
        <v>320</v>
      </c>
      <c r="B283" s="12" t="s">
        <v>321</v>
      </c>
      <c r="C283" s="12"/>
      <c r="D283" s="12"/>
      <c r="E283" s="13">
        <v>2710.7</v>
      </c>
      <c r="F283" s="13">
        <v>2710.7</v>
      </c>
      <c r="G283" s="13">
        <v>566.41200000000003</v>
      </c>
      <c r="H283" s="13">
        <v>3360.3449999999998</v>
      </c>
      <c r="I283" s="13">
        <v>123.96599999999999</v>
      </c>
      <c r="J283" s="13">
        <v>123.96599999999999</v>
      </c>
    </row>
    <row r="284" spans="1:10" s="102" customFormat="1" ht="33.75" x14ac:dyDescent="0.2">
      <c r="A284" s="114" t="s">
        <v>320</v>
      </c>
      <c r="B284" s="19" t="s">
        <v>326</v>
      </c>
      <c r="C284" s="19" t="s">
        <v>23</v>
      </c>
      <c r="D284" s="19" t="s">
        <v>24</v>
      </c>
      <c r="E284" s="89">
        <v>77</v>
      </c>
      <c r="F284" s="89">
        <v>77</v>
      </c>
      <c r="G284" s="89">
        <v>8</v>
      </c>
      <c r="H284" s="89">
        <v>35.799999999999997</v>
      </c>
      <c r="I284" s="89">
        <v>46.494</v>
      </c>
      <c r="J284" s="89">
        <v>46.494</v>
      </c>
    </row>
    <row r="285" spans="1:10" s="102" customFormat="1" ht="33.75" x14ac:dyDescent="0.2">
      <c r="A285" s="114" t="s">
        <v>320</v>
      </c>
      <c r="B285" s="19" t="s">
        <v>738</v>
      </c>
      <c r="C285" s="19" t="s">
        <v>23</v>
      </c>
      <c r="D285" s="19" t="s">
        <v>24</v>
      </c>
      <c r="E285" s="89">
        <v>52.1</v>
      </c>
      <c r="F285" s="89">
        <v>52.1</v>
      </c>
      <c r="G285" s="89"/>
      <c r="H285" s="89">
        <v>50</v>
      </c>
      <c r="I285" s="89">
        <v>95.968999999999994</v>
      </c>
      <c r="J285" s="89">
        <v>95.968999999999994</v>
      </c>
    </row>
    <row r="286" spans="1:10" s="102" customFormat="1" ht="33.75" x14ac:dyDescent="0.2">
      <c r="A286" s="114" t="s">
        <v>320</v>
      </c>
      <c r="B286" s="19" t="s">
        <v>328</v>
      </c>
      <c r="C286" s="19" t="s">
        <v>23</v>
      </c>
      <c r="D286" s="19" t="s">
        <v>24</v>
      </c>
      <c r="E286" s="89">
        <v>18.8</v>
      </c>
      <c r="F286" s="89">
        <v>18.8</v>
      </c>
      <c r="G286" s="89"/>
      <c r="H286" s="89"/>
      <c r="I286" s="89"/>
      <c r="J286" s="89"/>
    </row>
    <row r="287" spans="1:10" s="102" customFormat="1" ht="33.75" x14ac:dyDescent="0.2">
      <c r="A287" s="114" t="s">
        <v>320</v>
      </c>
      <c r="B287" s="19" t="s">
        <v>739</v>
      </c>
      <c r="C287" s="19" t="s">
        <v>23</v>
      </c>
      <c r="D287" s="19" t="s">
        <v>24</v>
      </c>
      <c r="E287" s="89">
        <v>200</v>
      </c>
      <c r="F287" s="89">
        <v>200</v>
      </c>
      <c r="G287" s="89"/>
      <c r="H287" s="89">
        <v>8</v>
      </c>
      <c r="I287" s="89">
        <v>4</v>
      </c>
      <c r="J287" s="89">
        <v>4</v>
      </c>
    </row>
    <row r="288" spans="1:10" s="102" customFormat="1" ht="33.75" x14ac:dyDescent="0.2">
      <c r="A288" s="114" t="s">
        <v>320</v>
      </c>
      <c r="B288" s="19" t="s">
        <v>329</v>
      </c>
      <c r="C288" s="19" t="s">
        <v>23</v>
      </c>
      <c r="D288" s="19" t="s">
        <v>24</v>
      </c>
      <c r="E288" s="89">
        <v>626</v>
      </c>
      <c r="F288" s="89">
        <v>626</v>
      </c>
      <c r="G288" s="89">
        <v>193.21700000000001</v>
      </c>
      <c r="H288" s="89">
        <v>1580.048</v>
      </c>
      <c r="I288" s="89">
        <v>252.404</v>
      </c>
      <c r="J288" s="89">
        <v>252.404</v>
      </c>
    </row>
    <row r="289" spans="1:13" ht="67.5" x14ac:dyDescent="0.2">
      <c r="A289" s="14" t="s">
        <v>331</v>
      </c>
      <c r="B289" s="12" t="s">
        <v>332</v>
      </c>
      <c r="C289" s="12"/>
      <c r="D289" s="12"/>
      <c r="E289" s="13">
        <v>1689.9</v>
      </c>
      <c r="F289" s="13">
        <v>1689.9</v>
      </c>
      <c r="G289" s="13">
        <v>365.19600000000003</v>
      </c>
      <c r="H289" s="13">
        <v>1686.4970000000001</v>
      </c>
      <c r="I289" s="13">
        <v>99.799000000000007</v>
      </c>
      <c r="J289" s="13">
        <v>99.799000000000007</v>
      </c>
    </row>
    <row r="290" spans="1:13" s="102" customFormat="1" ht="67.5" x14ac:dyDescent="0.2">
      <c r="A290" s="118" t="s">
        <v>331</v>
      </c>
      <c r="B290" s="19" t="s">
        <v>333</v>
      </c>
      <c r="C290" s="19" t="s">
        <v>23</v>
      </c>
      <c r="D290" s="19" t="s">
        <v>24</v>
      </c>
      <c r="E290" s="89">
        <v>400</v>
      </c>
      <c r="F290" s="89">
        <v>400</v>
      </c>
      <c r="G290" s="89">
        <v>44.014000000000003</v>
      </c>
      <c r="H290" s="89">
        <v>728.52300000000002</v>
      </c>
      <c r="I290" s="89">
        <v>182.131</v>
      </c>
      <c r="J290" s="89">
        <v>182.131</v>
      </c>
    </row>
    <row r="291" spans="1:13" s="102" customFormat="1" ht="67.5" x14ac:dyDescent="0.2">
      <c r="A291" s="118" t="s">
        <v>331</v>
      </c>
      <c r="B291" s="19" t="s">
        <v>334</v>
      </c>
      <c r="C291" s="19" t="s">
        <v>23</v>
      </c>
      <c r="D291" s="19" t="s">
        <v>24</v>
      </c>
      <c r="E291" s="89">
        <v>66.599999999999994</v>
      </c>
      <c r="F291" s="89">
        <v>66.599999999999994</v>
      </c>
      <c r="G291" s="89">
        <v>17</v>
      </c>
      <c r="H291" s="89">
        <v>28</v>
      </c>
      <c r="I291" s="89">
        <v>42.042000000000002</v>
      </c>
      <c r="J291" s="89">
        <v>42.042000000000002</v>
      </c>
    </row>
    <row r="292" spans="1:13" s="102" customFormat="1" ht="67.5" x14ac:dyDescent="0.2">
      <c r="A292" s="118" t="s">
        <v>331</v>
      </c>
      <c r="B292" s="19" t="s">
        <v>936</v>
      </c>
      <c r="C292" s="19" t="s">
        <v>23</v>
      </c>
      <c r="D292" s="19" t="s">
        <v>24</v>
      </c>
      <c r="E292" s="89"/>
      <c r="F292" s="89"/>
      <c r="G292" s="89">
        <v>3</v>
      </c>
      <c r="H292" s="89">
        <v>29.98</v>
      </c>
      <c r="I292" s="89"/>
      <c r="J292" s="89"/>
    </row>
    <row r="293" spans="1:13" s="102" customFormat="1" ht="67.5" x14ac:dyDescent="0.2">
      <c r="A293" s="118" t="s">
        <v>331</v>
      </c>
      <c r="B293" s="19" t="s">
        <v>937</v>
      </c>
      <c r="C293" s="19" t="s">
        <v>23</v>
      </c>
      <c r="D293" s="19" t="s">
        <v>24</v>
      </c>
      <c r="E293" s="89"/>
      <c r="F293" s="89"/>
      <c r="G293" s="89"/>
      <c r="H293" s="89">
        <v>1.617</v>
      </c>
      <c r="I293" s="89"/>
      <c r="J293" s="89"/>
    </row>
    <row r="294" spans="1:13" s="102" customFormat="1" ht="67.5" x14ac:dyDescent="0.2">
      <c r="A294" s="118" t="s">
        <v>331</v>
      </c>
      <c r="B294" s="19" t="s">
        <v>335</v>
      </c>
      <c r="C294" s="19" t="s">
        <v>23</v>
      </c>
      <c r="D294" s="19" t="s">
        <v>24</v>
      </c>
      <c r="E294" s="89">
        <v>1150</v>
      </c>
      <c r="F294" s="89">
        <v>1150</v>
      </c>
      <c r="G294" s="89">
        <v>280.68200000000002</v>
      </c>
      <c r="H294" s="89">
        <v>855.029</v>
      </c>
      <c r="I294" s="89">
        <v>74.349999999999994</v>
      </c>
      <c r="J294" s="89">
        <v>74.349999999999994</v>
      </c>
    </row>
    <row r="295" spans="1:13" s="102" customFormat="1" ht="67.5" x14ac:dyDescent="0.2">
      <c r="A295" s="118" t="s">
        <v>331</v>
      </c>
      <c r="B295" s="19" t="s">
        <v>336</v>
      </c>
      <c r="C295" s="19" t="s">
        <v>23</v>
      </c>
      <c r="D295" s="19" t="s">
        <v>24</v>
      </c>
      <c r="E295" s="89">
        <v>73.3</v>
      </c>
      <c r="F295" s="89">
        <v>73.3</v>
      </c>
      <c r="G295" s="89">
        <v>20.5</v>
      </c>
      <c r="H295" s="185">
        <v>43.347999999999999</v>
      </c>
      <c r="I295" s="89">
        <v>59.137999999999998</v>
      </c>
      <c r="J295" s="89">
        <v>59.137999999999998</v>
      </c>
    </row>
    <row r="296" spans="1:13" ht="45" x14ac:dyDescent="0.2">
      <c r="A296" s="11" t="s">
        <v>337</v>
      </c>
      <c r="B296" s="12" t="s">
        <v>338</v>
      </c>
      <c r="C296" s="12"/>
      <c r="D296" s="12"/>
      <c r="E296" s="13">
        <v>46.9</v>
      </c>
      <c r="F296" s="13">
        <v>46.9</v>
      </c>
      <c r="G296" s="13"/>
      <c r="H296" s="13"/>
      <c r="I296" s="13"/>
      <c r="J296" s="13"/>
    </row>
    <row r="297" spans="1:13" s="102" customFormat="1" ht="45" x14ac:dyDescent="0.2">
      <c r="A297" s="114" t="s">
        <v>337</v>
      </c>
      <c r="B297" s="19" t="s">
        <v>339</v>
      </c>
      <c r="C297" s="19" t="s">
        <v>23</v>
      </c>
      <c r="D297" s="19" t="s">
        <v>24</v>
      </c>
      <c r="E297" s="89">
        <v>46.9</v>
      </c>
      <c r="F297" s="89">
        <v>46.9</v>
      </c>
      <c r="G297" s="89"/>
      <c r="H297" s="89"/>
      <c r="I297" s="89"/>
      <c r="J297" s="89"/>
    </row>
    <row r="298" spans="1:13" ht="30.75" customHeight="1" x14ac:dyDescent="0.2">
      <c r="A298" s="161" t="s">
        <v>340</v>
      </c>
      <c r="B298" s="162" t="s">
        <v>341</v>
      </c>
      <c r="C298" s="162"/>
      <c r="D298" s="162"/>
      <c r="E298" s="66">
        <v>50</v>
      </c>
      <c r="F298" s="66">
        <v>50</v>
      </c>
      <c r="G298" s="163">
        <v>-30.510999999999999</v>
      </c>
      <c r="H298" s="66">
        <v>185.31800000000001</v>
      </c>
      <c r="I298" s="66">
        <v>370.637</v>
      </c>
      <c r="J298" s="66">
        <v>370.637</v>
      </c>
      <c r="K298" s="67">
        <f>G298+G163</f>
        <v>96.852000000000004</v>
      </c>
      <c r="L298" s="67"/>
      <c r="M298" s="67"/>
    </row>
    <row r="299" spans="1:13" x14ac:dyDescent="0.2">
      <c r="A299" s="11" t="s">
        <v>571</v>
      </c>
      <c r="B299" s="12" t="s">
        <v>572</v>
      </c>
      <c r="C299" s="12"/>
      <c r="D299" s="12"/>
      <c r="E299" s="13"/>
      <c r="F299" s="13"/>
      <c r="G299" s="13">
        <v>-22.94</v>
      </c>
      <c r="H299" s="13">
        <v>30.574999999999999</v>
      </c>
      <c r="I299" s="13"/>
      <c r="J299" s="13"/>
    </row>
    <row r="300" spans="1:13" ht="22.5" x14ac:dyDescent="0.2">
      <c r="A300" s="11" t="s">
        <v>476</v>
      </c>
      <c r="B300" s="12" t="s">
        <v>477</v>
      </c>
      <c r="C300" s="12"/>
      <c r="D300" s="12"/>
      <c r="E300" s="13"/>
      <c r="F300" s="13"/>
      <c r="G300" s="13">
        <v>-22.94</v>
      </c>
      <c r="H300" s="13">
        <v>30.574999999999999</v>
      </c>
      <c r="I300" s="13"/>
      <c r="J300" s="13"/>
    </row>
    <row r="301" spans="1:13" ht="22.5" x14ac:dyDescent="0.2">
      <c r="A301" s="15" t="s">
        <v>476</v>
      </c>
      <c r="B301" s="16" t="s">
        <v>938</v>
      </c>
      <c r="C301" s="16" t="s">
        <v>23</v>
      </c>
      <c r="D301" s="16" t="s">
        <v>24</v>
      </c>
      <c r="E301" s="17"/>
      <c r="F301" s="17"/>
      <c r="G301" s="17">
        <v>-19.84</v>
      </c>
      <c r="H301" s="17">
        <v>4</v>
      </c>
      <c r="I301" s="17"/>
      <c r="J301" s="17"/>
    </row>
    <row r="302" spans="1:13" ht="22.5" x14ac:dyDescent="0.2">
      <c r="A302" s="15" t="s">
        <v>476</v>
      </c>
      <c r="B302" s="16" t="s">
        <v>478</v>
      </c>
      <c r="C302" s="16" t="s">
        <v>23</v>
      </c>
      <c r="D302" s="16" t="s">
        <v>24</v>
      </c>
      <c r="E302" s="17"/>
      <c r="F302" s="17"/>
      <c r="G302" s="17"/>
      <c r="H302" s="17">
        <v>26.274999999999999</v>
      </c>
      <c r="I302" s="17"/>
      <c r="J302" s="17"/>
    </row>
    <row r="303" spans="1:13" ht="22.5" x14ac:dyDescent="0.2">
      <c r="A303" s="15" t="s">
        <v>476</v>
      </c>
      <c r="B303" s="16" t="s">
        <v>479</v>
      </c>
      <c r="C303" s="16" t="s">
        <v>23</v>
      </c>
      <c r="D303" s="16" t="s">
        <v>24</v>
      </c>
      <c r="E303" s="17"/>
      <c r="F303" s="17"/>
      <c r="G303" s="17">
        <v>-3.1</v>
      </c>
      <c r="H303" s="17">
        <v>0.3</v>
      </c>
      <c r="I303" s="17"/>
      <c r="J303" s="17"/>
    </row>
    <row r="304" spans="1:13" x14ac:dyDescent="0.2">
      <c r="A304" s="11" t="s">
        <v>342</v>
      </c>
      <c r="B304" s="12" t="s">
        <v>343</v>
      </c>
      <c r="C304" s="12"/>
      <c r="D304" s="12"/>
      <c r="E304" s="13">
        <v>50</v>
      </c>
      <c r="F304" s="13">
        <v>50</v>
      </c>
      <c r="G304" s="13">
        <v>-7.5709999999999997</v>
      </c>
      <c r="H304" s="13">
        <v>154.74299999999999</v>
      </c>
      <c r="I304" s="13">
        <v>309.48700000000002</v>
      </c>
      <c r="J304" s="13">
        <v>309.48700000000002</v>
      </c>
    </row>
    <row r="305" spans="1:14" ht="22.5" x14ac:dyDescent="0.2">
      <c r="A305" s="11" t="s">
        <v>344</v>
      </c>
      <c r="B305" s="12" t="s">
        <v>345</v>
      </c>
      <c r="C305" s="12"/>
      <c r="D305" s="12"/>
      <c r="E305" s="13">
        <v>50</v>
      </c>
      <c r="F305" s="13">
        <v>50</v>
      </c>
      <c r="G305" s="13">
        <v>-7.5709999999999997</v>
      </c>
      <c r="H305" s="13">
        <v>154.74299999999999</v>
      </c>
      <c r="I305" s="13">
        <v>309.48700000000002</v>
      </c>
      <c r="J305" s="13">
        <v>309.48700000000002</v>
      </c>
    </row>
    <row r="306" spans="1:14" ht="22.5" x14ac:dyDescent="0.2">
      <c r="A306" s="15" t="s">
        <v>344</v>
      </c>
      <c r="B306" s="16" t="s">
        <v>939</v>
      </c>
      <c r="C306" s="16" t="s">
        <v>23</v>
      </c>
      <c r="D306" s="16" t="s">
        <v>24</v>
      </c>
      <c r="E306" s="17"/>
      <c r="F306" s="17"/>
      <c r="G306" s="17">
        <v>38.121000000000002</v>
      </c>
      <c r="H306" s="17">
        <v>124.54300000000001</v>
      </c>
      <c r="I306" s="17"/>
      <c r="J306" s="17"/>
    </row>
    <row r="307" spans="1:14" ht="22.5" x14ac:dyDescent="0.2">
      <c r="A307" s="15" t="s">
        <v>344</v>
      </c>
      <c r="B307" s="16" t="s">
        <v>346</v>
      </c>
      <c r="C307" s="16" t="s">
        <v>23</v>
      </c>
      <c r="D307" s="16" t="s">
        <v>24</v>
      </c>
      <c r="E307" s="17">
        <v>50</v>
      </c>
      <c r="F307" s="17">
        <v>50</v>
      </c>
      <c r="G307" s="17">
        <v>-45.692</v>
      </c>
      <c r="H307" s="17">
        <v>30.2</v>
      </c>
      <c r="I307" s="17">
        <v>60.4</v>
      </c>
      <c r="J307" s="17">
        <v>60.4</v>
      </c>
    </row>
    <row r="308" spans="1:14" ht="24" customHeight="1" x14ac:dyDescent="0.2">
      <c r="A308" s="161" t="s">
        <v>347</v>
      </c>
      <c r="B308" s="162" t="s">
        <v>348</v>
      </c>
      <c r="C308" s="162"/>
      <c r="D308" s="162"/>
      <c r="E308" s="66">
        <v>1461037.439</v>
      </c>
      <c r="F308" s="66">
        <v>1856931.9909999999</v>
      </c>
      <c r="G308" s="163">
        <v>120605.58</v>
      </c>
      <c r="H308" s="66">
        <v>1123120.0209999999</v>
      </c>
      <c r="I308" s="66">
        <v>76.870999999999995</v>
      </c>
      <c r="J308" s="66">
        <v>60.482999999999997</v>
      </c>
      <c r="K308" s="67"/>
      <c r="L308" s="67">
        <f>H310+H317+H352+H382</f>
        <v>1119981.142</v>
      </c>
    </row>
    <row r="309" spans="1:14" ht="33.75" x14ac:dyDescent="0.2">
      <c r="A309" s="11" t="s">
        <v>349</v>
      </c>
      <c r="B309" s="12" t="s">
        <v>350</v>
      </c>
      <c r="C309" s="12"/>
      <c r="D309" s="12"/>
      <c r="E309" s="13">
        <v>1461037.439</v>
      </c>
      <c r="F309" s="13">
        <v>1863195.5689999999</v>
      </c>
      <c r="G309" s="13">
        <v>120605.58</v>
      </c>
      <c r="H309" s="13">
        <v>1129383.598</v>
      </c>
      <c r="I309" s="13">
        <v>77.3</v>
      </c>
      <c r="J309" s="13">
        <v>60.615000000000002</v>
      </c>
    </row>
    <row r="310" spans="1:14" ht="22.5" x14ac:dyDescent="0.2">
      <c r="A310" s="164" t="s">
        <v>351</v>
      </c>
      <c r="B310" s="165" t="s">
        <v>940</v>
      </c>
      <c r="C310" s="165"/>
      <c r="D310" s="165"/>
      <c r="E310" s="106">
        <v>99366.9</v>
      </c>
      <c r="F310" s="106">
        <v>226447.1</v>
      </c>
      <c r="G310" s="163">
        <v>22364.5</v>
      </c>
      <c r="H310" s="106">
        <v>162440.9</v>
      </c>
      <c r="I310" s="106">
        <v>163.476</v>
      </c>
      <c r="J310" s="106">
        <v>71.734999999999999</v>
      </c>
      <c r="K310" s="67"/>
      <c r="L310" s="67"/>
      <c r="M310" s="67"/>
      <c r="N310" s="67"/>
    </row>
    <row r="311" spans="1:14" ht="22.5" x14ac:dyDescent="0.2">
      <c r="A311" s="11" t="s">
        <v>741</v>
      </c>
      <c r="B311" s="12" t="s">
        <v>941</v>
      </c>
      <c r="C311" s="12"/>
      <c r="D311" s="12"/>
      <c r="E311" s="13">
        <v>35934</v>
      </c>
      <c r="F311" s="13">
        <v>35934</v>
      </c>
      <c r="G311" s="13">
        <v>2866.4</v>
      </c>
      <c r="H311" s="13">
        <v>34808</v>
      </c>
      <c r="I311" s="13">
        <v>96.867000000000004</v>
      </c>
      <c r="J311" s="13">
        <v>96.867000000000004</v>
      </c>
    </row>
    <row r="312" spans="1:14" ht="22.5" x14ac:dyDescent="0.2">
      <c r="A312" s="11" t="s">
        <v>512</v>
      </c>
      <c r="B312" s="12" t="s">
        <v>942</v>
      </c>
      <c r="C312" s="12"/>
      <c r="D312" s="12"/>
      <c r="E312" s="13">
        <v>35934</v>
      </c>
      <c r="F312" s="13">
        <v>35934</v>
      </c>
      <c r="G312" s="13">
        <v>2866.4</v>
      </c>
      <c r="H312" s="13">
        <v>34808</v>
      </c>
      <c r="I312" s="13">
        <v>96.867000000000004</v>
      </c>
      <c r="J312" s="13">
        <v>96.867000000000004</v>
      </c>
    </row>
    <row r="313" spans="1:14" ht="22.5" x14ac:dyDescent="0.2">
      <c r="A313" s="15" t="s">
        <v>512</v>
      </c>
      <c r="B313" s="16" t="s">
        <v>943</v>
      </c>
      <c r="C313" s="16" t="s">
        <v>23</v>
      </c>
      <c r="D313" s="16" t="s">
        <v>24</v>
      </c>
      <c r="E313" s="17">
        <v>35934</v>
      </c>
      <c r="F313" s="17">
        <v>35934</v>
      </c>
      <c r="G313" s="17">
        <v>2866.4</v>
      </c>
      <c r="H313" s="17">
        <v>34808</v>
      </c>
      <c r="I313" s="17">
        <v>96.867000000000004</v>
      </c>
      <c r="J313" s="17">
        <v>96.867000000000004</v>
      </c>
    </row>
    <row r="314" spans="1:14" ht="22.5" x14ac:dyDescent="0.2">
      <c r="A314" s="11" t="s">
        <v>352</v>
      </c>
      <c r="B314" s="12" t="s">
        <v>944</v>
      </c>
      <c r="C314" s="12"/>
      <c r="D314" s="12"/>
      <c r="E314" s="13">
        <v>63432.9</v>
      </c>
      <c r="F314" s="13">
        <v>190513.1</v>
      </c>
      <c r="G314" s="13">
        <v>19498.099999999999</v>
      </c>
      <c r="H314" s="13">
        <v>127632.9</v>
      </c>
      <c r="I314" s="13">
        <v>201.209</v>
      </c>
      <c r="J314" s="13">
        <v>66.994</v>
      </c>
    </row>
    <row r="315" spans="1:14" ht="33.75" x14ac:dyDescent="0.2">
      <c r="A315" s="11" t="s">
        <v>353</v>
      </c>
      <c r="B315" s="12" t="s">
        <v>945</v>
      </c>
      <c r="C315" s="12"/>
      <c r="D315" s="12"/>
      <c r="E315" s="13">
        <v>63432.9</v>
      </c>
      <c r="F315" s="13">
        <v>190513.1</v>
      </c>
      <c r="G315" s="13">
        <v>19498.099999999999</v>
      </c>
      <c r="H315" s="13">
        <v>127632.9</v>
      </c>
      <c r="I315" s="13">
        <v>201.209</v>
      </c>
      <c r="J315" s="13">
        <v>66.994</v>
      </c>
    </row>
    <row r="316" spans="1:14" ht="33.75" x14ac:dyDescent="0.2">
      <c r="A316" s="15" t="s">
        <v>353</v>
      </c>
      <c r="B316" s="16" t="s">
        <v>946</v>
      </c>
      <c r="C316" s="16" t="s">
        <v>23</v>
      </c>
      <c r="D316" s="16" t="s">
        <v>24</v>
      </c>
      <c r="E316" s="17">
        <v>63432.9</v>
      </c>
      <c r="F316" s="17">
        <v>190513.1</v>
      </c>
      <c r="G316" s="17">
        <v>19498.099999999999</v>
      </c>
      <c r="H316" s="17">
        <v>127632.9</v>
      </c>
      <c r="I316" s="17">
        <v>201.209</v>
      </c>
      <c r="J316" s="17">
        <v>66.994</v>
      </c>
    </row>
    <row r="317" spans="1:14" ht="22.5" x14ac:dyDescent="0.2">
      <c r="A317" s="164" t="s">
        <v>354</v>
      </c>
      <c r="B317" s="165" t="s">
        <v>947</v>
      </c>
      <c r="C317" s="165"/>
      <c r="D317" s="165"/>
      <c r="E317" s="106">
        <v>105214.7</v>
      </c>
      <c r="F317" s="106">
        <v>384610.98300000001</v>
      </c>
      <c r="G317" s="163">
        <v>8267.8950000000004</v>
      </c>
      <c r="H317" s="106">
        <v>93882.281000000003</v>
      </c>
      <c r="I317" s="106">
        <v>89.228999999999999</v>
      </c>
      <c r="J317" s="106">
        <v>24.41</v>
      </c>
      <c r="K317" s="67">
        <f>G317-G340-G343</f>
        <v>2250.8950000000004</v>
      </c>
      <c r="L317" s="67">
        <f>H317-H340-H342-H343+H382</f>
        <v>31887.717000000004</v>
      </c>
      <c r="M317" s="67">
        <f t="shared" ref="M317" si="1">I317-I340-I343</f>
        <v>4.6140000000000043</v>
      </c>
      <c r="N317" s="67"/>
    </row>
    <row r="318" spans="1:14" ht="33.75" x14ac:dyDescent="0.2">
      <c r="A318" s="11" t="s">
        <v>355</v>
      </c>
      <c r="B318" s="12" t="s">
        <v>948</v>
      </c>
      <c r="C318" s="12"/>
      <c r="D318" s="12"/>
      <c r="E318" s="13"/>
      <c r="F318" s="13">
        <v>213898.16</v>
      </c>
      <c r="G318" s="13"/>
      <c r="H318" s="13"/>
      <c r="I318" s="13"/>
      <c r="J318" s="13"/>
    </row>
    <row r="319" spans="1:14" ht="33.75" x14ac:dyDescent="0.2">
      <c r="A319" s="11" t="s">
        <v>578</v>
      </c>
      <c r="B319" s="12" t="s">
        <v>949</v>
      </c>
      <c r="C319" s="12"/>
      <c r="D319" s="12"/>
      <c r="E319" s="13"/>
      <c r="F319" s="13">
        <v>213898.16</v>
      </c>
      <c r="G319" s="13"/>
      <c r="H319" s="13"/>
      <c r="I319" s="13"/>
      <c r="J319" s="13"/>
    </row>
    <row r="320" spans="1:14" ht="33.75" x14ac:dyDescent="0.2">
      <c r="A320" s="15" t="s">
        <v>578</v>
      </c>
      <c r="B320" s="16" t="s">
        <v>950</v>
      </c>
      <c r="C320" s="16" t="s">
        <v>951</v>
      </c>
      <c r="D320" s="16" t="s">
        <v>24</v>
      </c>
      <c r="E320" s="17"/>
      <c r="F320" s="17">
        <v>36899.699999999997</v>
      </c>
      <c r="G320" s="17"/>
      <c r="H320" s="17"/>
      <c r="I320" s="17"/>
      <c r="J320" s="17"/>
    </row>
    <row r="321" spans="1:11" ht="33.75" x14ac:dyDescent="0.2">
      <c r="A321" s="15" t="s">
        <v>578</v>
      </c>
      <c r="B321" s="16" t="s">
        <v>950</v>
      </c>
      <c r="C321" s="16" t="s">
        <v>952</v>
      </c>
      <c r="D321" s="16" t="s">
        <v>24</v>
      </c>
      <c r="E321" s="17"/>
      <c r="F321" s="17">
        <v>522.05999999999995</v>
      </c>
      <c r="G321" s="17"/>
      <c r="H321" s="17"/>
      <c r="I321" s="17"/>
      <c r="J321" s="17"/>
    </row>
    <row r="322" spans="1:11" ht="33.75" x14ac:dyDescent="0.2">
      <c r="A322" s="15" t="s">
        <v>578</v>
      </c>
      <c r="B322" s="16" t="s">
        <v>950</v>
      </c>
      <c r="C322" s="16" t="s">
        <v>953</v>
      </c>
      <c r="D322" s="16" t="s">
        <v>24</v>
      </c>
      <c r="E322" s="17"/>
      <c r="F322" s="17">
        <v>176476.4</v>
      </c>
      <c r="G322" s="17"/>
      <c r="H322" s="17"/>
      <c r="I322" s="17"/>
      <c r="J322" s="17"/>
    </row>
    <row r="323" spans="1:11" ht="22.5" x14ac:dyDescent="0.2">
      <c r="A323" s="11" t="s">
        <v>743</v>
      </c>
      <c r="B323" s="12" t="s">
        <v>954</v>
      </c>
      <c r="C323" s="12"/>
      <c r="D323" s="12"/>
      <c r="E323" s="13"/>
      <c r="F323" s="13">
        <v>8103.2640000000001</v>
      </c>
      <c r="G323" s="13"/>
      <c r="H323" s="13">
        <v>8075.2920000000004</v>
      </c>
      <c r="I323" s="13"/>
      <c r="J323" s="13">
        <f>H323/F323*100</f>
        <v>99.654805767157526</v>
      </c>
      <c r="K323" s="67">
        <f>F323-H323</f>
        <v>27.971999999999753</v>
      </c>
    </row>
    <row r="324" spans="1:11" ht="33.75" x14ac:dyDescent="0.2">
      <c r="A324" s="11" t="s">
        <v>745</v>
      </c>
      <c r="B324" s="12" t="s">
        <v>955</v>
      </c>
      <c r="C324" s="12"/>
      <c r="D324" s="12"/>
      <c r="E324" s="13"/>
      <c r="F324" s="13">
        <v>8103.2640000000001</v>
      </c>
      <c r="G324" s="13"/>
      <c r="H324" s="13">
        <f>8075.292</f>
        <v>8075.2920000000004</v>
      </c>
      <c r="I324" s="13"/>
      <c r="J324" s="13">
        <f>H324/F324*100</f>
        <v>99.654805767157526</v>
      </c>
    </row>
    <row r="325" spans="1:11" ht="33.75" x14ac:dyDescent="0.2">
      <c r="A325" s="15" t="s">
        <v>745</v>
      </c>
      <c r="B325" s="16" t="s">
        <v>956</v>
      </c>
      <c r="C325" s="16" t="s">
        <v>23</v>
      </c>
      <c r="D325" s="16" t="s">
        <v>24</v>
      </c>
      <c r="E325" s="17"/>
      <c r="F325" s="17">
        <v>8103.2640000000001</v>
      </c>
      <c r="G325" s="17"/>
      <c r="H325" s="17">
        <v>7966.2120000000004</v>
      </c>
      <c r="I325" s="17"/>
      <c r="J325" s="17">
        <v>98.308999999999997</v>
      </c>
    </row>
    <row r="326" spans="1:11" ht="33.75" x14ac:dyDescent="0.2">
      <c r="A326" s="188" t="s">
        <v>745</v>
      </c>
      <c r="B326" s="189" t="s">
        <v>956</v>
      </c>
      <c r="C326" s="16"/>
      <c r="D326" s="16"/>
      <c r="E326" s="17"/>
      <c r="F326" s="17"/>
      <c r="G326" s="190">
        <v>109.08</v>
      </c>
      <c r="H326" s="190"/>
      <c r="I326" s="17"/>
      <c r="J326" s="17"/>
    </row>
    <row r="327" spans="1:11" ht="33.75" x14ac:dyDescent="0.2">
      <c r="A327" s="15" t="s">
        <v>745</v>
      </c>
      <c r="B327" s="16" t="s">
        <v>956</v>
      </c>
      <c r="C327" s="16" t="s">
        <v>23</v>
      </c>
      <c r="D327" s="16" t="s">
        <v>584</v>
      </c>
      <c r="E327" s="17"/>
      <c r="F327" s="17"/>
      <c r="G327" s="191">
        <v>109.08</v>
      </c>
      <c r="H327" s="191"/>
      <c r="I327" s="17"/>
      <c r="J327" s="17"/>
    </row>
    <row r="328" spans="1:11" ht="22.5" x14ac:dyDescent="0.2">
      <c r="A328" s="11" t="s">
        <v>579</v>
      </c>
      <c r="B328" s="12" t="s">
        <v>957</v>
      </c>
      <c r="C328" s="12"/>
      <c r="D328" s="12"/>
      <c r="E328" s="13"/>
      <c r="F328" s="13">
        <v>309.38400000000001</v>
      </c>
      <c r="G328" s="13"/>
      <c r="H328" s="13">
        <v>309.38200000000001</v>
      </c>
      <c r="I328" s="13"/>
      <c r="J328" s="13">
        <v>100</v>
      </c>
    </row>
    <row r="329" spans="1:11" ht="22.5" x14ac:dyDescent="0.2">
      <c r="A329" s="11" t="s">
        <v>507</v>
      </c>
      <c r="B329" s="12" t="s">
        <v>958</v>
      </c>
      <c r="C329" s="12"/>
      <c r="D329" s="12"/>
      <c r="E329" s="13"/>
      <c r="F329" s="13">
        <v>309.38400000000001</v>
      </c>
      <c r="G329" s="13"/>
      <c r="H329" s="13">
        <v>309.38200000000001</v>
      </c>
      <c r="I329" s="13"/>
      <c r="J329" s="13">
        <v>100</v>
      </c>
    </row>
    <row r="330" spans="1:11" ht="22.5" x14ac:dyDescent="0.2">
      <c r="A330" s="15" t="s">
        <v>507</v>
      </c>
      <c r="B330" s="16" t="s">
        <v>959</v>
      </c>
      <c r="C330" s="16" t="s">
        <v>23</v>
      </c>
      <c r="D330" s="16" t="s">
        <v>24</v>
      </c>
      <c r="E330" s="17"/>
      <c r="F330" s="17">
        <v>309.38400000000001</v>
      </c>
      <c r="G330" s="17"/>
      <c r="H330" s="17">
        <v>309.38200000000001</v>
      </c>
      <c r="I330" s="17"/>
      <c r="J330" s="17">
        <v>100</v>
      </c>
    </row>
    <row r="331" spans="1:11" x14ac:dyDescent="0.2">
      <c r="A331" s="11" t="s">
        <v>356</v>
      </c>
      <c r="B331" s="12" t="s">
        <v>960</v>
      </c>
      <c r="C331" s="12"/>
      <c r="D331" s="12"/>
      <c r="E331" s="13">
        <v>105214.7</v>
      </c>
      <c r="F331" s="13">
        <v>162300.17499999999</v>
      </c>
      <c r="G331" s="13">
        <v>8158.8149999999996</v>
      </c>
      <c r="H331" s="13">
        <v>85497.607000000004</v>
      </c>
      <c r="I331" s="13">
        <v>81.260000000000005</v>
      </c>
      <c r="J331" s="13">
        <v>52.679000000000002</v>
      </c>
    </row>
    <row r="332" spans="1:11" ht="22.5" x14ac:dyDescent="0.2">
      <c r="A332" s="11" t="s">
        <v>357</v>
      </c>
      <c r="B332" s="12" t="s">
        <v>961</v>
      </c>
      <c r="C332" s="12"/>
      <c r="D332" s="12"/>
      <c r="E332" s="13">
        <v>105214.7</v>
      </c>
      <c r="F332" s="13">
        <v>162300.17499999999</v>
      </c>
      <c r="G332" s="13">
        <v>8158.8149999999996</v>
      </c>
      <c r="H332" s="13">
        <v>85497.607000000004</v>
      </c>
      <c r="I332" s="13">
        <v>81.260000000000005</v>
      </c>
      <c r="J332" s="13">
        <v>52.679000000000002</v>
      </c>
    </row>
    <row r="333" spans="1:11" s="235" customFormat="1" x14ac:dyDescent="0.2">
      <c r="A333" s="231" t="s">
        <v>357</v>
      </c>
      <c r="B333" s="232" t="s">
        <v>962</v>
      </c>
      <c r="C333" s="232" t="s">
        <v>584</v>
      </c>
      <c r="D333" s="232" t="s">
        <v>24</v>
      </c>
      <c r="E333" s="233"/>
      <c r="F333" s="234">
        <v>109.08</v>
      </c>
      <c r="G333" s="234"/>
      <c r="H333" s="234"/>
      <c r="I333" s="233"/>
      <c r="J333" s="233"/>
    </row>
    <row r="334" spans="1:11" s="235" customFormat="1" x14ac:dyDescent="0.2">
      <c r="A334" s="231" t="s">
        <v>357</v>
      </c>
      <c r="B334" s="232" t="s">
        <v>962</v>
      </c>
      <c r="C334" s="232" t="s">
        <v>585</v>
      </c>
      <c r="D334" s="232" t="s">
        <v>24</v>
      </c>
      <c r="E334" s="233"/>
      <c r="F334" s="233">
        <v>239.06399999999999</v>
      </c>
      <c r="G334" s="233">
        <v>237.06</v>
      </c>
      <c r="H334" s="233">
        <v>237.06</v>
      </c>
      <c r="I334" s="233"/>
      <c r="J334" s="233">
        <v>99.162000000000006</v>
      </c>
      <c r="K334" s="236">
        <f>G334-F334</f>
        <v>-2.0039999999999907</v>
      </c>
    </row>
    <row r="335" spans="1:11" s="235" customFormat="1" x14ac:dyDescent="0.2">
      <c r="A335" s="231" t="s">
        <v>357</v>
      </c>
      <c r="B335" s="232" t="s">
        <v>962</v>
      </c>
      <c r="C335" s="232" t="s">
        <v>748</v>
      </c>
      <c r="D335" s="232" t="s">
        <v>24</v>
      </c>
      <c r="E335" s="233"/>
      <c r="F335" s="233">
        <v>779.2</v>
      </c>
      <c r="G335" s="233"/>
      <c r="H335" s="233"/>
      <c r="I335" s="233"/>
      <c r="J335" s="233"/>
    </row>
    <row r="336" spans="1:11" s="223" customFormat="1" x14ac:dyDescent="0.2">
      <c r="A336" s="220" t="s">
        <v>357</v>
      </c>
      <c r="B336" s="221" t="s">
        <v>963</v>
      </c>
      <c r="C336" s="221" t="s">
        <v>358</v>
      </c>
      <c r="D336" s="221" t="s">
        <v>24</v>
      </c>
      <c r="E336" s="222"/>
      <c r="F336" s="222">
        <v>353</v>
      </c>
      <c r="G336" s="222">
        <v>24.535</v>
      </c>
      <c r="H336" s="222">
        <v>174.23500000000001</v>
      </c>
      <c r="I336" s="222"/>
      <c r="J336" s="222">
        <v>49.357999999999997</v>
      </c>
    </row>
    <row r="337" spans="1:14" s="223" customFormat="1" x14ac:dyDescent="0.2">
      <c r="A337" s="220" t="s">
        <v>357</v>
      </c>
      <c r="B337" s="221" t="s">
        <v>963</v>
      </c>
      <c r="C337" s="221" t="s">
        <v>964</v>
      </c>
      <c r="D337" s="221" t="s">
        <v>24</v>
      </c>
      <c r="E337" s="222"/>
      <c r="F337" s="222">
        <v>2364.3000000000002</v>
      </c>
      <c r="G337" s="222"/>
      <c r="H337" s="222"/>
      <c r="I337" s="222"/>
      <c r="J337" s="222"/>
    </row>
    <row r="338" spans="1:14" s="223" customFormat="1" x14ac:dyDescent="0.2">
      <c r="A338" s="220" t="s">
        <v>357</v>
      </c>
      <c r="B338" s="221" t="s">
        <v>963</v>
      </c>
      <c r="C338" s="221" t="s">
        <v>965</v>
      </c>
      <c r="D338" s="221" t="s">
        <v>24</v>
      </c>
      <c r="E338" s="222"/>
      <c r="F338" s="222">
        <v>31897.1</v>
      </c>
      <c r="G338" s="222">
        <v>1380.0450000000001</v>
      </c>
      <c r="H338" s="222">
        <v>1380.0450000000001</v>
      </c>
      <c r="I338" s="222"/>
      <c r="J338" s="222">
        <v>4.327</v>
      </c>
    </row>
    <row r="339" spans="1:14" s="230" customFormat="1" x14ac:dyDescent="0.2">
      <c r="A339" s="226" t="s">
        <v>357</v>
      </c>
      <c r="B339" s="227" t="s">
        <v>966</v>
      </c>
      <c r="C339" s="227" t="s">
        <v>360</v>
      </c>
      <c r="D339" s="227" t="s">
        <v>24</v>
      </c>
      <c r="E339" s="228"/>
      <c r="F339" s="228">
        <v>4952.6310000000003</v>
      </c>
      <c r="G339" s="228"/>
      <c r="H339" s="228">
        <v>4952.6310000000003</v>
      </c>
      <c r="I339" s="228"/>
      <c r="J339" s="228">
        <v>100</v>
      </c>
    </row>
    <row r="340" spans="1:14" s="230" customFormat="1" x14ac:dyDescent="0.2">
      <c r="A340" s="226" t="s">
        <v>357</v>
      </c>
      <c r="B340" s="227" t="s">
        <v>966</v>
      </c>
      <c r="C340" s="227" t="s">
        <v>573</v>
      </c>
      <c r="D340" s="227" t="s">
        <v>24</v>
      </c>
      <c r="E340" s="228">
        <v>68315</v>
      </c>
      <c r="F340" s="228">
        <v>72208.7</v>
      </c>
      <c r="G340" s="228">
        <v>5255</v>
      </c>
      <c r="H340" s="228">
        <v>57805</v>
      </c>
      <c r="I340" s="228">
        <v>84.614999999999995</v>
      </c>
      <c r="J340" s="228">
        <v>80.052999999999997</v>
      </c>
    </row>
    <row r="341" spans="1:14" s="230" customFormat="1" x14ac:dyDescent="0.2">
      <c r="A341" s="226" t="s">
        <v>357</v>
      </c>
      <c r="B341" s="227" t="s">
        <v>966</v>
      </c>
      <c r="C341" s="227" t="s">
        <v>586</v>
      </c>
      <c r="D341" s="227" t="s">
        <v>24</v>
      </c>
      <c r="E341" s="228"/>
      <c r="F341" s="228">
        <v>15000</v>
      </c>
      <c r="G341" s="228">
        <v>500.17500000000001</v>
      </c>
      <c r="H341" s="228">
        <v>12400.636</v>
      </c>
      <c r="I341" s="228"/>
      <c r="J341" s="228">
        <v>82.671000000000006</v>
      </c>
    </row>
    <row r="342" spans="1:14" s="230" customFormat="1" x14ac:dyDescent="0.2">
      <c r="A342" s="226" t="s">
        <v>357</v>
      </c>
      <c r="B342" s="227" t="s">
        <v>966</v>
      </c>
      <c r="C342" s="227" t="s">
        <v>750</v>
      </c>
      <c r="D342" s="227" t="s">
        <v>24</v>
      </c>
      <c r="E342" s="228"/>
      <c r="F342" s="228">
        <v>5500</v>
      </c>
      <c r="G342" s="228"/>
      <c r="H342" s="228">
        <v>5500</v>
      </c>
      <c r="I342" s="228"/>
      <c r="J342" s="228">
        <v>100</v>
      </c>
    </row>
    <row r="343" spans="1:14" s="230" customFormat="1" x14ac:dyDescent="0.2">
      <c r="A343" s="226" t="s">
        <v>357</v>
      </c>
      <c r="B343" s="227" t="s">
        <v>966</v>
      </c>
      <c r="C343" s="227" t="s">
        <v>967</v>
      </c>
      <c r="D343" s="227" t="s">
        <v>24</v>
      </c>
      <c r="E343" s="228"/>
      <c r="F343" s="228">
        <v>5334.3</v>
      </c>
      <c r="G343" s="228">
        <v>762</v>
      </c>
      <c r="H343" s="228">
        <v>3048</v>
      </c>
      <c r="I343" s="228"/>
      <c r="J343" s="228">
        <v>57.14</v>
      </c>
    </row>
    <row r="344" spans="1:14" x14ac:dyDescent="0.2">
      <c r="A344" s="15" t="s">
        <v>357</v>
      </c>
      <c r="B344" s="16" t="s">
        <v>968</v>
      </c>
      <c r="C344" s="16" t="s">
        <v>752</v>
      </c>
      <c r="D344" s="16" t="s">
        <v>24</v>
      </c>
      <c r="E344" s="17"/>
      <c r="F344" s="17">
        <v>22004</v>
      </c>
      <c r="G344" s="17"/>
      <c r="H344" s="17"/>
      <c r="I344" s="17"/>
      <c r="J344" s="17"/>
    </row>
    <row r="345" spans="1:14" x14ac:dyDescent="0.2">
      <c r="A345" s="15" t="s">
        <v>357</v>
      </c>
      <c r="B345" s="16" t="s">
        <v>968</v>
      </c>
      <c r="C345" s="16" t="s">
        <v>951</v>
      </c>
      <c r="D345" s="16" t="s">
        <v>24</v>
      </c>
      <c r="E345" s="17">
        <v>36899.699999999997</v>
      </c>
      <c r="F345" s="17"/>
      <c r="G345" s="17"/>
      <c r="H345" s="17"/>
      <c r="I345" s="17"/>
      <c r="J345" s="17"/>
    </row>
    <row r="346" spans="1:14" x14ac:dyDescent="0.2">
      <c r="A346" s="15" t="s">
        <v>357</v>
      </c>
      <c r="B346" s="16" t="s">
        <v>968</v>
      </c>
      <c r="C346" s="16" t="s">
        <v>969</v>
      </c>
      <c r="D346" s="16" t="s">
        <v>24</v>
      </c>
      <c r="E346" s="17"/>
      <c r="F346" s="17">
        <v>580.9</v>
      </c>
      <c r="G346" s="17"/>
      <c r="H346" s="17"/>
      <c r="I346" s="17"/>
      <c r="J346" s="17"/>
    </row>
    <row r="347" spans="1:14" x14ac:dyDescent="0.2">
      <c r="A347" s="15" t="s">
        <v>357</v>
      </c>
      <c r="B347" s="16" t="s">
        <v>968</v>
      </c>
      <c r="C347" s="16" t="s">
        <v>970</v>
      </c>
      <c r="D347" s="16" t="s">
        <v>24</v>
      </c>
      <c r="E347" s="17"/>
      <c r="F347" s="17">
        <v>977.9</v>
      </c>
      <c r="G347" s="17"/>
      <c r="H347" s="17"/>
      <c r="I347" s="17"/>
      <c r="J347" s="17"/>
    </row>
    <row r="348" spans="1:14" ht="22.5" x14ac:dyDescent="0.2">
      <c r="A348" s="11" t="s">
        <v>354</v>
      </c>
      <c r="B348" s="12" t="s">
        <v>576</v>
      </c>
      <c r="C348" s="12"/>
      <c r="D348" s="12"/>
      <c r="E348" s="13">
        <v>176476.4</v>
      </c>
      <c r="F348" s="13"/>
      <c r="G348" s="13"/>
      <c r="H348" s="13"/>
      <c r="I348" s="13"/>
      <c r="J348" s="13"/>
    </row>
    <row r="349" spans="1:14" ht="33.75" x14ac:dyDescent="0.2">
      <c r="A349" s="11" t="s">
        <v>355</v>
      </c>
      <c r="B349" s="12" t="s">
        <v>577</v>
      </c>
      <c r="C349" s="12"/>
      <c r="D349" s="12"/>
      <c r="E349" s="13">
        <v>176476.4</v>
      </c>
      <c r="F349" s="13"/>
      <c r="G349" s="13"/>
      <c r="H349" s="13"/>
      <c r="I349" s="13"/>
      <c r="J349" s="13"/>
    </row>
    <row r="350" spans="1:14" ht="33.75" x14ac:dyDescent="0.2">
      <c r="A350" s="11" t="s">
        <v>578</v>
      </c>
      <c r="B350" s="12" t="s">
        <v>480</v>
      </c>
      <c r="C350" s="12"/>
      <c r="D350" s="12"/>
      <c r="E350" s="13">
        <v>176476.4</v>
      </c>
      <c r="F350" s="13"/>
      <c r="G350" s="13"/>
      <c r="H350" s="13"/>
      <c r="I350" s="13"/>
      <c r="J350" s="13"/>
    </row>
    <row r="351" spans="1:14" ht="33.75" x14ac:dyDescent="0.2">
      <c r="A351" s="15" t="s">
        <v>578</v>
      </c>
      <c r="B351" s="16" t="s">
        <v>866</v>
      </c>
      <c r="C351" s="16" t="s">
        <v>23</v>
      </c>
      <c r="D351" s="16" t="s">
        <v>24</v>
      </c>
      <c r="E351" s="17">
        <v>176476.4</v>
      </c>
      <c r="F351" s="17"/>
      <c r="G351" s="17"/>
      <c r="H351" s="17"/>
      <c r="I351" s="17"/>
      <c r="J351" s="17"/>
    </row>
    <row r="352" spans="1:14" ht="29.25" customHeight="1" x14ac:dyDescent="0.2">
      <c r="A352" s="164" t="s">
        <v>361</v>
      </c>
      <c r="B352" s="165" t="s">
        <v>971</v>
      </c>
      <c r="C352" s="165"/>
      <c r="D352" s="165"/>
      <c r="E352" s="106">
        <v>1067250.8999999999</v>
      </c>
      <c r="F352" s="106">
        <v>1189234.8</v>
      </c>
      <c r="G352" s="163">
        <v>85963.823999999993</v>
      </c>
      <c r="H352" s="106">
        <v>859299.52500000002</v>
      </c>
      <c r="I352" s="106">
        <v>80.515000000000001</v>
      </c>
      <c r="J352" s="106">
        <v>72.257000000000005</v>
      </c>
      <c r="K352" s="67"/>
      <c r="L352" s="67"/>
      <c r="M352" s="67"/>
      <c r="N352" s="67"/>
    </row>
    <row r="353" spans="1:10" ht="33.75" x14ac:dyDescent="0.2">
      <c r="A353" s="11" t="s">
        <v>362</v>
      </c>
      <c r="B353" s="12" t="s">
        <v>972</v>
      </c>
      <c r="C353" s="12"/>
      <c r="D353" s="12"/>
      <c r="E353" s="13">
        <v>72611</v>
      </c>
      <c r="F353" s="13">
        <v>72747.7</v>
      </c>
      <c r="G353" s="13">
        <v>6420.5</v>
      </c>
      <c r="H353" s="13">
        <v>56285.796999999999</v>
      </c>
      <c r="I353" s="13">
        <v>77.516999999999996</v>
      </c>
      <c r="J353" s="13">
        <v>77.370999999999995</v>
      </c>
    </row>
    <row r="354" spans="1:10" ht="33.75" x14ac:dyDescent="0.2">
      <c r="A354" s="11" t="s">
        <v>363</v>
      </c>
      <c r="B354" s="12" t="s">
        <v>973</v>
      </c>
      <c r="C354" s="12"/>
      <c r="D354" s="12"/>
      <c r="E354" s="13">
        <v>72611</v>
      </c>
      <c r="F354" s="13">
        <v>72747.7</v>
      </c>
      <c r="G354" s="13">
        <v>6420.5</v>
      </c>
      <c r="H354" s="13">
        <v>56285.796999999999</v>
      </c>
      <c r="I354" s="13">
        <v>77.516999999999996</v>
      </c>
      <c r="J354" s="13">
        <v>77.370999999999995</v>
      </c>
    </row>
    <row r="355" spans="1:10" ht="33.75" x14ac:dyDescent="0.2">
      <c r="A355" s="15" t="s">
        <v>363</v>
      </c>
      <c r="B355" s="16" t="s">
        <v>974</v>
      </c>
      <c r="C355" s="16" t="s">
        <v>23</v>
      </c>
      <c r="D355" s="16" t="s">
        <v>24</v>
      </c>
      <c r="E355" s="17">
        <v>72611</v>
      </c>
      <c r="F355" s="17">
        <v>72747.7</v>
      </c>
      <c r="G355" s="17">
        <v>6420.5</v>
      </c>
      <c r="H355" s="17">
        <v>56285.796999999999</v>
      </c>
      <c r="I355" s="17">
        <v>77.516999999999996</v>
      </c>
      <c r="J355" s="17">
        <v>77.370999999999995</v>
      </c>
    </row>
    <row r="356" spans="1:10" ht="33.75" x14ac:dyDescent="0.2">
      <c r="A356" s="11" t="s">
        <v>364</v>
      </c>
      <c r="B356" s="12" t="s">
        <v>975</v>
      </c>
      <c r="C356" s="12"/>
      <c r="D356" s="12"/>
      <c r="E356" s="13">
        <v>40389</v>
      </c>
      <c r="F356" s="13">
        <v>41107.300000000003</v>
      </c>
      <c r="G356" s="13">
        <v>6143.3239999999996</v>
      </c>
      <c r="H356" s="13">
        <v>27811.527999999998</v>
      </c>
      <c r="I356" s="13">
        <v>68.858999999999995</v>
      </c>
      <c r="J356" s="13">
        <v>67.656000000000006</v>
      </c>
    </row>
    <row r="357" spans="1:10" ht="33.75" x14ac:dyDescent="0.2">
      <c r="A357" s="11" t="s">
        <v>365</v>
      </c>
      <c r="B357" s="12" t="s">
        <v>976</v>
      </c>
      <c r="C357" s="12"/>
      <c r="D357" s="12"/>
      <c r="E357" s="13">
        <v>40389</v>
      </c>
      <c r="F357" s="13">
        <v>41107.300000000003</v>
      </c>
      <c r="G357" s="13">
        <v>6143.3239999999996</v>
      </c>
      <c r="H357" s="13">
        <v>27811.527999999998</v>
      </c>
      <c r="I357" s="13">
        <v>68.858999999999995</v>
      </c>
      <c r="J357" s="13">
        <v>67.656000000000006</v>
      </c>
    </row>
    <row r="358" spans="1:10" ht="33.75" x14ac:dyDescent="0.2">
      <c r="A358" s="15" t="s">
        <v>365</v>
      </c>
      <c r="B358" s="16" t="s">
        <v>977</v>
      </c>
      <c r="C358" s="16" t="s">
        <v>366</v>
      </c>
      <c r="D358" s="16" t="s">
        <v>24</v>
      </c>
      <c r="E358" s="17">
        <v>32914</v>
      </c>
      <c r="F358" s="17">
        <v>32914</v>
      </c>
      <c r="G358" s="17">
        <v>5578.4</v>
      </c>
      <c r="H358" s="17">
        <v>21674.1</v>
      </c>
      <c r="I358" s="17">
        <v>65.850999999999999</v>
      </c>
      <c r="J358" s="17">
        <v>65.850999999999999</v>
      </c>
    </row>
    <row r="359" spans="1:10" ht="33.75" x14ac:dyDescent="0.2">
      <c r="A359" s="15" t="s">
        <v>365</v>
      </c>
      <c r="B359" s="16" t="s">
        <v>978</v>
      </c>
      <c r="C359" s="16" t="s">
        <v>367</v>
      </c>
      <c r="D359" s="16" t="s">
        <v>24</v>
      </c>
      <c r="E359" s="17">
        <v>3155.1</v>
      </c>
      <c r="F359" s="17">
        <v>3757.9</v>
      </c>
      <c r="G359" s="17">
        <v>313.15800000000002</v>
      </c>
      <c r="H359" s="17">
        <v>2779.4250000000002</v>
      </c>
      <c r="I359" s="17">
        <v>88.093000000000004</v>
      </c>
      <c r="J359" s="17">
        <v>73.962000000000003</v>
      </c>
    </row>
    <row r="360" spans="1:10" ht="33.75" x14ac:dyDescent="0.2">
      <c r="A360" s="15" t="s">
        <v>365</v>
      </c>
      <c r="B360" s="16" t="s">
        <v>978</v>
      </c>
      <c r="C360" s="16" t="s">
        <v>368</v>
      </c>
      <c r="D360" s="16" t="s">
        <v>24</v>
      </c>
      <c r="E360" s="17">
        <v>629.6</v>
      </c>
      <c r="F360" s="17">
        <v>648.5</v>
      </c>
      <c r="G360" s="17">
        <v>54.566000000000003</v>
      </c>
      <c r="H360" s="17">
        <v>484.8</v>
      </c>
      <c r="I360" s="17">
        <v>77.001000000000005</v>
      </c>
      <c r="J360" s="17">
        <v>74.757000000000005</v>
      </c>
    </row>
    <row r="361" spans="1:10" ht="33.75" x14ac:dyDescent="0.2">
      <c r="A361" s="15" t="s">
        <v>365</v>
      </c>
      <c r="B361" s="16" t="s">
        <v>978</v>
      </c>
      <c r="C361" s="16" t="s">
        <v>369</v>
      </c>
      <c r="D361" s="16" t="s">
        <v>24</v>
      </c>
      <c r="E361" s="17">
        <v>1902.7</v>
      </c>
      <c r="F361" s="17">
        <v>1959.9</v>
      </c>
      <c r="G361" s="17">
        <v>110.9</v>
      </c>
      <c r="H361" s="17">
        <v>1521.145</v>
      </c>
      <c r="I361" s="17">
        <v>79.947000000000003</v>
      </c>
      <c r="J361" s="17">
        <v>77.613</v>
      </c>
    </row>
    <row r="362" spans="1:10" ht="33.75" x14ac:dyDescent="0.2">
      <c r="A362" s="15" t="s">
        <v>365</v>
      </c>
      <c r="B362" s="16" t="s">
        <v>978</v>
      </c>
      <c r="C362" s="16" t="s">
        <v>370</v>
      </c>
      <c r="D362" s="16" t="s">
        <v>24</v>
      </c>
      <c r="E362" s="17">
        <v>1259.2</v>
      </c>
      <c r="F362" s="17">
        <v>1297.0999999999999</v>
      </c>
      <c r="G362" s="17">
        <v>86.3</v>
      </c>
      <c r="H362" s="17">
        <v>822.85799999999995</v>
      </c>
      <c r="I362" s="17">
        <v>65.347999999999999</v>
      </c>
      <c r="J362" s="17">
        <v>63.438000000000002</v>
      </c>
    </row>
    <row r="363" spans="1:10" ht="33.75" x14ac:dyDescent="0.2">
      <c r="A363" s="15" t="s">
        <v>365</v>
      </c>
      <c r="B363" s="16" t="s">
        <v>978</v>
      </c>
      <c r="C363" s="16" t="s">
        <v>372</v>
      </c>
      <c r="D363" s="16" t="s">
        <v>24</v>
      </c>
      <c r="E363" s="17">
        <v>0.7</v>
      </c>
      <c r="F363" s="17">
        <v>0.7</v>
      </c>
      <c r="G363" s="17"/>
      <c r="H363" s="17"/>
      <c r="I363" s="17"/>
      <c r="J363" s="17"/>
    </row>
    <row r="364" spans="1:10" ht="33.75" x14ac:dyDescent="0.2">
      <c r="A364" s="15" t="s">
        <v>365</v>
      </c>
      <c r="B364" s="16" t="s">
        <v>978</v>
      </c>
      <c r="C364" s="16" t="s">
        <v>868</v>
      </c>
      <c r="D364" s="16" t="s">
        <v>24</v>
      </c>
      <c r="E364" s="17">
        <v>52.7</v>
      </c>
      <c r="F364" s="17">
        <v>54.2</v>
      </c>
      <c r="G364" s="17"/>
      <c r="H364" s="17">
        <v>54.2</v>
      </c>
      <c r="I364" s="17">
        <v>102.846</v>
      </c>
      <c r="J364" s="17">
        <v>100</v>
      </c>
    </row>
    <row r="365" spans="1:10" ht="33.75" x14ac:dyDescent="0.2">
      <c r="A365" s="15" t="s">
        <v>365</v>
      </c>
      <c r="B365" s="16" t="s">
        <v>979</v>
      </c>
      <c r="C365" s="16" t="s">
        <v>371</v>
      </c>
      <c r="D365" s="16" t="s">
        <v>24</v>
      </c>
      <c r="E365" s="17">
        <v>475</v>
      </c>
      <c r="F365" s="17">
        <v>475</v>
      </c>
      <c r="G365" s="17"/>
      <c r="H365" s="17">
        <v>475</v>
      </c>
      <c r="I365" s="17">
        <v>100</v>
      </c>
      <c r="J365" s="17">
        <v>100</v>
      </c>
    </row>
    <row r="366" spans="1:10" ht="45" x14ac:dyDescent="0.2">
      <c r="A366" s="11" t="s">
        <v>753</v>
      </c>
      <c r="B366" s="12" t="s">
        <v>980</v>
      </c>
      <c r="C366" s="12"/>
      <c r="D366" s="12"/>
      <c r="E366" s="13">
        <v>23.4</v>
      </c>
      <c r="F366" s="13">
        <v>23.4</v>
      </c>
      <c r="G366" s="13"/>
      <c r="H366" s="13">
        <v>23.4</v>
      </c>
      <c r="I366" s="13">
        <v>100</v>
      </c>
      <c r="J366" s="13">
        <v>100</v>
      </c>
    </row>
    <row r="367" spans="1:10" ht="56.25" x14ac:dyDescent="0.2">
      <c r="A367" s="11" t="s">
        <v>515</v>
      </c>
      <c r="B367" s="12" t="s">
        <v>981</v>
      </c>
      <c r="C367" s="12"/>
      <c r="D367" s="12"/>
      <c r="E367" s="13">
        <v>23.4</v>
      </c>
      <c r="F367" s="13">
        <v>23.4</v>
      </c>
      <c r="G367" s="13"/>
      <c r="H367" s="13">
        <v>23.4</v>
      </c>
      <c r="I367" s="13">
        <v>100</v>
      </c>
      <c r="J367" s="13">
        <v>100</v>
      </c>
    </row>
    <row r="368" spans="1:10" ht="56.25" x14ac:dyDescent="0.2">
      <c r="A368" s="15" t="s">
        <v>515</v>
      </c>
      <c r="B368" s="16" t="s">
        <v>982</v>
      </c>
      <c r="C368" s="16" t="s">
        <v>23</v>
      </c>
      <c r="D368" s="16" t="s">
        <v>24</v>
      </c>
      <c r="E368" s="17">
        <v>23.4</v>
      </c>
      <c r="F368" s="17">
        <v>23.4</v>
      </c>
      <c r="G368" s="17"/>
      <c r="H368" s="17">
        <v>23.4</v>
      </c>
      <c r="I368" s="17">
        <v>100</v>
      </c>
      <c r="J368" s="17">
        <v>100</v>
      </c>
    </row>
    <row r="369" spans="1:14" x14ac:dyDescent="0.2">
      <c r="A369" s="11" t="s">
        <v>374</v>
      </c>
      <c r="B369" s="12" t="s">
        <v>983</v>
      </c>
      <c r="C369" s="12"/>
      <c r="D369" s="12"/>
      <c r="E369" s="13">
        <v>954227.5</v>
      </c>
      <c r="F369" s="13">
        <v>1075356.3999999999</v>
      </c>
      <c r="G369" s="13">
        <v>73400</v>
      </c>
      <c r="H369" s="13">
        <v>775178.8</v>
      </c>
      <c r="I369" s="13">
        <v>81.236000000000004</v>
      </c>
      <c r="J369" s="13">
        <v>72.085999999999999</v>
      </c>
    </row>
    <row r="370" spans="1:14" ht="22.5" x14ac:dyDescent="0.2">
      <c r="A370" s="11" t="s">
        <v>375</v>
      </c>
      <c r="B370" s="12" t="s">
        <v>984</v>
      </c>
      <c r="C370" s="12"/>
      <c r="D370" s="12"/>
      <c r="E370" s="13">
        <v>954227.5</v>
      </c>
      <c r="F370" s="13">
        <v>1075356.3999999999</v>
      </c>
      <c r="G370" s="13">
        <v>73400</v>
      </c>
      <c r="H370" s="13">
        <v>775178.8</v>
      </c>
      <c r="I370" s="13">
        <v>81.236000000000004</v>
      </c>
      <c r="J370" s="13">
        <v>72.085999999999999</v>
      </c>
    </row>
    <row r="371" spans="1:14" x14ac:dyDescent="0.2">
      <c r="A371" s="15" t="s">
        <v>375</v>
      </c>
      <c r="B371" s="16" t="s">
        <v>985</v>
      </c>
      <c r="C371" s="16" t="s">
        <v>373</v>
      </c>
      <c r="D371" s="16" t="s">
        <v>24</v>
      </c>
      <c r="E371" s="17">
        <v>682799.4</v>
      </c>
      <c r="F371" s="17">
        <v>757865.7</v>
      </c>
      <c r="G371" s="17">
        <v>47800</v>
      </c>
      <c r="H371" s="17">
        <v>544080</v>
      </c>
      <c r="I371" s="17">
        <v>79.683999999999997</v>
      </c>
      <c r="J371" s="17">
        <v>71.790999999999997</v>
      </c>
    </row>
    <row r="372" spans="1:14" x14ac:dyDescent="0.2">
      <c r="A372" s="15" t="s">
        <v>375</v>
      </c>
      <c r="B372" s="16" t="s">
        <v>985</v>
      </c>
      <c r="C372" s="16" t="s">
        <v>376</v>
      </c>
      <c r="D372" s="16" t="s">
        <v>24</v>
      </c>
      <c r="E372" s="17">
        <v>271428.09999999998</v>
      </c>
      <c r="F372" s="17">
        <v>317490.7</v>
      </c>
      <c r="G372" s="17">
        <v>25600</v>
      </c>
      <c r="H372" s="17">
        <v>231098.8</v>
      </c>
      <c r="I372" s="17">
        <v>85.141999999999996</v>
      </c>
      <c r="J372" s="17">
        <v>72.789000000000001</v>
      </c>
    </row>
    <row r="373" spans="1:14" ht="29.25" customHeight="1" x14ac:dyDescent="0.2">
      <c r="A373" s="164" t="s">
        <v>377</v>
      </c>
      <c r="B373" s="165" t="s">
        <v>986</v>
      </c>
      <c r="C373" s="165"/>
      <c r="D373" s="165"/>
      <c r="E373" s="106">
        <v>12728.539000000001</v>
      </c>
      <c r="F373" s="106">
        <v>62902.686000000002</v>
      </c>
      <c r="G373" s="163">
        <v>4009.3609999999999</v>
      </c>
      <c r="H373" s="106">
        <v>13760.892</v>
      </c>
      <c r="I373" s="106">
        <v>108.111</v>
      </c>
      <c r="J373" s="106">
        <v>21.876999999999999</v>
      </c>
      <c r="K373" s="67"/>
      <c r="L373" s="67"/>
      <c r="M373" s="67"/>
      <c r="N373" s="67"/>
    </row>
    <row r="374" spans="1:14" ht="56.25" x14ac:dyDescent="0.2">
      <c r="A374" s="11" t="s">
        <v>378</v>
      </c>
      <c r="B374" s="12" t="s">
        <v>987</v>
      </c>
      <c r="C374" s="12"/>
      <c r="D374" s="12"/>
      <c r="E374" s="13">
        <v>12728.539000000001</v>
      </c>
      <c r="F374" s="13">
        <v>12432.986000000001</v>
      </c>
      <c r="G374" s="13">
        <v>995.17600000000004</v>
      </c>
      <c r="H374" s="13">
        <v>9402.4570000000003</v>
      </c>
      <c r="I374" s="13">
        <v>73.869</v>
      </c>
      <c r="J374" s="13">
        <v>75.625</v>
      </c>
    </row>
    <row r="375" spans="1:14" ht="56.25" x14ac:dyDescent="0.2">
      <c r="A375" s="11" t="s">
        <v>379</v>
      </c>
      <c r="B375" s="12" t="s">
        <v>988</v>
      </c>
      <c r="C375" s="12"/>
      <c r="D375" s="12"/>
      <c r="E375" s="13">
        <v>12728.539000000001</v>
      </c>
      <c r="F375" s="13">
        <v>12432.986000000001</v>
      </c>
      <c r="G375" s="13">
        <v>995.17600000000004</v>
      </c>
      <c r="H375" s="13">
        <v>9402.4570000000003</v>
      </c>
      <c r="I375" s="13">
        <v>73.869</v>
      </c>
      <c r="J375" s="13">
        <v>75.625</v>
      </c>
    </row>
    <row r="376" spans="1:14" ht="56.25" x14ac:dyDescent="0.2">
      <c r="A376" s="15" t="s">
        <v>379</v>
      </c>
      <c r="B376" s="16" t="s">
        <v>989</v>
      </c>
      <c r="C376" s="16" t="s">
        <v>755</v>
      </c>
      <c r="D376" s="16" t="s">
        <v>24</v>
      </c>
      <c r="E376" s="17">
        <v>728.48199999999997</v>
      </c>
      <c r="F376" s="17">
        <v>728.48199999999997</v>
      </c>
      <c r="G376" s="17">
        <v>51</v>
      </c>
      <c r="H376" s="17">
        <v>559.09500000000003</v>
      </c>
      <c r="I376" s="17">
        <v>76.748000000000005</v>
      </c>
      <c r="J376" s="17">
        <v>76.748000000000005</v>
      </c>
    </row>
    <row r="377" spans="1:14" ht="56.25" x14ac:dyDescent="0.2">
      <c r="A377" s="15" t="s">
        <v>379</v>
      </c>
      <c r="B377" s="16" t="s">
        <v>989</v>
      </c>
      <c r="C377" s="16" t="s">
        <v>381</v>
      </c>
      <c r="D377" s="16" t="s">
        <v>24</v>
      </c>
      <c r="E377" s="17">
        <v>612.16899999999998</v>
      </c>
      <c r="F377" s="17">
        <v>612.16899999999998</v>
      </c>
      <c r="G377" s="17">
        <v>46.920999999999999</v>
      </c>
      <c r="H377" s="17">
        <v>472.94299999999998</v>
      </c>
      <c r="I377" s="17">
        <v>77.257000000000005</v>
      </c>
      <c r="J377" s="17">
        <v>77.257000000000005</v>
      </c>
    </row>
    <row r="378" spans="1:14" ht="56.25" x14ac:dyDescent="0.2">
      <c r="A378" s="15" t="s">
        <v>379</v>
      </c>
      <c r="B378" s="16" t="s">
        <v>990</v>
      </c>
      <c r="C378" s="16" t="s">
        <v>755</v>
      </c>
      <c r="D378" s="16" t="s">
        <v>24</v>
      </c>
      <c r="E378" s="17">
        <v>9478.2080000000005</v>
      </c>
      <c r="F378" s="17">
        <v>9478.2080000000005</v>
      </c>
      <c r="G378" s="17">
        <v>786.26400000000001</v>
      </c>
      <c r="H378" s="17">
        <v>7119.2280000000001</v>
      </c>
      <c r="I378" s="17">
        <v>75.111999999999995</v>
      </c>
      <c r="J378" s="17">
        <v>75.111999999999995</v>
      </c>
    </row>
    <row r="379" spans="1:14" ht="56.25" x14ac:dyDescent="0.2">
      <c r="A379" s="15" t="s">
        <v>379</v>
      </c>
      <c r="B379" s="16" t="s">
        <v>991</v>
      </c>
      <c r="C379" s="16" t="s">
        <v>756</v>
      </c>
      <c r="D379" s="16" t="s">
        <v>24</v>
      </c>
      <c r="E379" s="17">
        <v>189.36500000000001</v>
      </c>
      <c r="F379" s="17">
        <v>189.36500000000001</v>
      </c>
      <c r="G379" s="17">
        <v>14.11</v>
      </c>
      <c r="H379" s="17">
        <v>147.345</v>
      </c>
      <c r="I379" s="17">
        <v>77.81</v>
      </c>
      <c r="J379" s="17">
        <v>77.81</v>
      </c>
    </row>
    <row r="380" spans="1:14" ht="56.25" x14ac:dyDescent="0.2">
      <c r="A380" s="15" t="s">
        <v>379</v>
      </c>
      <c r="B380" s="16" t="s">
        <v>992</v>
      </c>
      <c r="C380" s="16" t="s">
        <v>755</v>
      </c>
      <c r="D380" s="16" t="s">
        <v>24</v>
      </c>
      <c r="E380" s="17">
        <v>1281.201</v>
      </c>
      <c r="F380" s="17">
        <v>1424.7619999999999</v>
      </c>
      <c r="G380" s="17">
        <v>96.881</v>
      </c>
      <c r="H380" s="17">
        <v>1103.846</v>
      </c>
      <c r="I380" s="17">
        <v>86.156999999999996</v>
      </c>
      <c r="J380" s="17">
        <v>77.475999999999999</v>
      </c>
    </row>
    <row r="381" spans="1:14" ht="56.25" x14ac:dyDescent="0.2">
      <c r="A381" s="15" t="s">
        <v>379</v>
      </c>
      <c r="B381" s="16" t="s">
        <v>993</v>
      </c>
      <c r="C381" s="16" t="s">
        <v>380</v>
      </c>
      <c r="D381" s="16" t="s">
        <v>24</v>
      </c>
      <c r="E381" s="17">
        <v>439.11399999999998</v>
      </c>
      <c r="F381" s="17"/>
      <c r="G381" s="17"/>
      <c r="H381" s="17"/>
      <c r="I381" s="17"/>
      <c r="J381" s="17"/>
    </row>
    <row r="382" spans="1:14" ht="29.25" customHeight="1" x14ac:dyDescent="0.2">
      <c r="A382" s="164" t="s">
        <v>994</v>
      </c>
      <c r="B382" s="165" t="s">
        <v>995</v>
      </c>
      <c r="C382" s="165"/>
      <c r="D382" s="165"/>
      <c r="E382" s="106"/>
      <c r="F382" s="106">
        <v>50469.7</v>
      </c>
      <c r="G382" s="163">
        <v>3014.1849999999999</v>
      </c>
      <c r="H382" s="106">
        <v>4358.4359999999997</v>
      </c>
      <c r="I382" s="106"/>
      <c r="J382" s="106">
        <v>8.6359999999999992</v>
      </c>
      <c r="K382" s="67"/>
      <c r="L382" s="67"/>
      <c r="M382" s="67"/>
      <c r="N382" s="67"/>
    </row>
    <row r="383" spans="1:14" ht="22.5" x14ac:dyDescent="0.2">
      <c r="A383" s="11" t="s">
        <v>996</v>
      </c>
      <c r="B383" s="12" t="s">
        <v>997</v>
      </c>
      <c r="C383" s="12"/>
      <c r="D383" s="12"/>
      <c r="E383" s="13"/>
      <c r="F383" s="13">
        <v>50469.7</v>
      </c>
      <c r="G383" s="13">
        <v>3014.1849999999999</v>
      </c>
      <c r="H383" s="13">
        <v>4358.4359999999997</v>
      </c>
      <c r="I383" s="13"/>
      <c r="J383" s="13">
        <v>8.6359999999999992</v>
      </c>
    </row>
    <row r="384" spans="1:14" ht="22.5" x14ac:dyDescent="0.2">
      <c r="A384" s="15" t="s">
        <v>996</v>
      </c>
      <c r="B384" s="16" t="s">
        <v>998</v>
      </c>
      <c r="C384" s="16" t="s">
        <v>999</v>
      </c>
      <c r="D384" s="16" t="s">
        <v>24</v>
      </c>
      <c r="E384" s="17"/>
      <c r="F384" s="17">
        <v>14945</v>
      </c>
      <c r="G384" s="17">
        <v>3014.1849999999999</v>
      </c>
      <c r="H384" s="17">
        <v>4358.4359999999997</v>
      </c>
      <c r="I384" s="17"/>
      <c r="J384" s="17">
        <v>29.163</v>
      </c>
    </row>
    <row r="385" spans="1:14" ht="22.5" x14ac:dyDescent="0.2">
      <c r="A385" s="15" t="s">
        <v>996</v>
      </c>
      <c r="B385" s="16" t="s">
        <v>998</v>
      </c>
      <c r="C385" s="16" t="s">
        <v>1000</v>
      </c>
      <c r="D385" s="16" t="s">
        <v>24</v>
      </c>
      <c r="E385" s="17"/>
      <c r="F385" s="17">
        <v>35524.699999999997</v>
      </c>
      <c r="G385" s="17"/>
      <c r="H385" s="17"/>
      <c r="I385" s="17"/>
      <c r="J385" s="17"/>
    </row>
    <row r="386" spans="1:14" ht="29.25" customHeight="1" x14ac:dyDescent="0.2">
      <c r="A386" s="164" t="s">
        <v>382</v>
      </c>
      <c r="B386" s="165" t="s">
        <v>383</v>
      </c>
      <c r="C386" s="165"/>
      <c r="D386" s="165"/>
      <c r="E386" s="106"/>
      <c r="F386" s="106">
        <v>54.8</v>
      </c>
      <c r="G386" s="163"/>
      <c r="H386" s="106">
        <v>54.8</v>
      </c>
      <c r="I386" s="106"/>
      <c r="J386" s="106">
        <v>100</v>
      </c>
      <c r="K386" s="67"/>
      <c r="L386" s="67"/>
      <c r="M386" s="67"/>
      <c r="N386" s="67"/>
    </row>
    <row r="387" spans="1:14" ht="22.5" x14ac:dyDescent="0.2">
      <c r="A387" s="11" t="s">
        <v>384</v>
      </c>
      <c r="B387" s="12" t="s">
        <v>1001</v>
      </c>
      <c r="C387" s="12"/>
      <c r="D387" s="12"/>
      <c r="E387" s="13"/>
      <c r="F387" s="13">
        <v>54.8</v>
      </c>
      <c r="G387" s="13"/>
      <c r="H387" s="13">
        <v>54.8</v>
      </c>
      <c r="I387" s="13"/>
      <c r="J387" s="13">
        <v>100</v>
      </c>
    </row>
    <row r="388" spans="1:14" ht="45" x14ac:dyDescent="0.2">
      <c r="A388" s="11" t="s">
        <v>386</v>
      </c>
      <c r="B388" s="12" t="s">
        <v>1002</v>
      </c>
      <c r="C388" s="12"/>
      <c r="D388" s="12"/>
      <c r="E388" s="13"/>
      <c r="F388" s="13">
        <v>0.3</v>
      </c>
      <c r="G388" s="13"/>
      <c r="H388" s="13">
        <v>0.3</v>
      </c>
      <c r="I388" s="13"/>
      <c r="J388" s="13">
        <v>100</v>
      </c>
    </row>
    <row r="389" spans="1:14" ht="33.75" x14ac:dyDescent="0.2">
      <c r="A389" s="15" t="s">
        <v>386</v>
      </c>
      <c r="B389" s="16" t="s">
        <v>1003</v>
      </c>
      <c r="C389" s="16" t="s">
        <v>23</v>
      </c>
      <c r="D389" s="16" t="s">
        <v>24</v>
      </c>
      <c r="E389" s="17"/>
      <c r="F389" s="17">
        <v>0.3</v>
      </c>
      <c r="G389" s="17"/>
      <c r="H389" s="17">
        <v>0.3</v>
      </c>
      <c r="I389" s="17"/>
      <c r="J389" s="17">
        <v>100</v>
      </c>
    </row>
    <row r="390" spans="1:14" ht="22.5" x14ac:dyDescent="0.2">
      <c r="A390" s="11" t="s">
        <v>384</v>
      </c>
      <c r="B390" s="12" t="s">
        <v>1004</v>
      </c>
      <c r="C390" s="12"/>
      <c r="D390" s="12"/>
      <c r="E390" s="13"/>
      <c r="F390" s="13">
        <v>54.5</v>
      </c>
      <c r="G390" s="13"/>
      <c r="H390" s="13">
        <v>54.5</v>
      </c>
      <c r="I390" s="13"/>
      <c r="J390" s="13">
        <v>100</v>
      </c>
    </row>
    <row r="391" spans="1:14" ht="22.5" x14ac:dyDescent="0.2">
      <c r="A391" s="15" t="s">
        <v>384</v>
      </c>
      <c r="B391" s="16" t="s">
        <v>1005</v>
      </c>
      <c r="C391" s="16" t="s">
        <v>23</v>
      </c>
      <c r="D391" s="16" t="s">
        <v>24</v>
      </c>
      <c r="E391" s="17"/>
      <c r="F391" s="17">
        <v>10</v>
      </c>
      <c r="G391" s="17"/>
      <c r="H391" s="17">
        <v>10</v>
      </c>
      <c r="I391" s="17"/>
      <c r="J391" s="17">
        <v>100</v>
      </c>
    </row>
    <row r="392" spans="1:14" ht="22.5" x14ac:dyDescent="0.2">
      <c r="A392" s="15" t="s">
        <v>384</v>
      </c>
      <c r="B392" s="16" t="s">
        <v>1006</v>
      </c>
      <c r="C392" s="16" t="s">
        <v>23</v>
      </c>
      <c r="D392" s="16" t="s">
        <v>24</v>
      </c>
      <c r="E392" s="17"/>
      <c r="F392" s="17">
        <v>44.5</v>
      </c>
      <c r="G392" s="17"/>
      <c r="H392" s="17">
        <v>44.5</v>
      </c>
      <c r="I392" s="17"/>
      <c r="J392" s="17">
        <v>100</v>
      </c>
    </row>
    <row r="393" spans="1:14" ht="51.75" customHeight="1" x14ac:dyDescent="0.2">
      <c r="A393" s="164" t="s">
        <v>389</v>
      </c>
      <c r="B393" s="165" t="s">
        <v>390</v>
      </c>
      <c r="C393" s="165"/>
      <c r="D393" s="165"/>
      <c r="E393" s="106"/>
      <c r="F393" s="106">
        <v>-6318.3770000000004</v>
      </c>
      <c r="G393" s="163"/>
      <c r="H393" s="106">
        <v>-6318.3770000000004</v>
      </c>
      <c r="I393" s="106"/>
      <c r="J393" s="106">
        <v>100</v>
      </c>
      <c r="K393" s="67"/>
      <c r="L393" s="67"/>
      <c r="M393" s="67"/>
      <c r="N393" s="67"/>
    </row>
    <row r="394" spans="1:14" ht="45" x14ac:dyDescent="0.2">
      <c r="A394" s="11" t="s">
        <v>391</v>
      </c>
      <c r="B394" s="12" t="s">
        <v>1007</v>
      </c>
      <c r="C394" s="12"/>
      <c r="D394" s="12"/>
      <c r="E394" s="13"/>
      <c r="F394" s="13">
        <v>-6318.3770000000004</v>
      </c>
      <c r="G394" s="13"/>
      <c r="H394" s="13">
        <v>-6318.3770000000004</v>
      </c>
      <c r="I394" s="13"/>
      <c r="J394" s="13">
        <v>100</v>
      </c>
    </row>
    <row r="395" spans="1:14" ht="45" x14ac:dyDescent="0.2">
      <c r="A395" s="11" t="s">
        <v>505</v>
      </c>
      <c r="B395" s="12" t="s">
        <v>1008</v>
      </c>
      <c r="C395" s="12"/>
      <c r="D395" s="12"/>
      <c r="E395" s="13"/>
      <c r="F395" s="13">
        <v>-6318.3770000000004</v>
      </c>
      <c r="G395" s="13"/>
      <c r="H395" s="13">
        <v>-6318.3770000000004</v>
      </c>
      <c r="I395" s="13"/>
      <c r="J395" s="13">
        <v>100</v>
      </c>
    </row>
    <row r="396" spans="1:14" ht="45" x14ac:dyDescent="0.2">
      <c r="A396" s="15" t="s">
        <v>505</v>
      </c>
      <c r="B396" s="16" t="s">
        <v>1009</v>
      </c>
      <c r="C396" s="16" t="s">
        <v>23</v>
      </c>
      <c r="D396" s="16" t="s">
        <v>24</v>
      </c>
      <c r="E396" s="17"/>
      <c r="F396" s="17">
        <v>-4958.0860000000002</v>
      </c>
      <c r="G396" s="17"/>
      <c r="H396" s="17">
        <v>-4958.0860000000002</v>
      </c>
      <c r="I396" s="17"/>
      <c r="J396" s="17">
        <v>100</v>
      </c>
    </row>
    <row r="397" spans="1:14" ht="45" x14ac:dyDescent="0.2">
      <c r="A397" s="15" t="s">
        <v>505</v>
      </c>
      <c r="B397" s="16" t="s">
        <v>1010</v>
      </c>
      <c r="C397" s="16" t="s">
        <v>23</v>
      </c>
      <c r="D397" s="16" t="s">
        <v>24</v>
      </c>
      <c r="E397" s="17"/>
      <c r="F397" s="17">
        <v>-444.61399999999998</v>
      </c>
      <c r="G397" s="17"/>
      <c r="H397" s="17">
        <v>-444.61399999999998</v>
      </c>
      <c r="I397" s="17"/>
      <c r="J397" s="17">
        <v>100</v>
      </c>
    </row>
    <row r="398" spans="1:14" ht="45" x14ac:dyDescent="0.2">
      <c r="A398" s="15" t="s">
        <v>505</v>
      </c>
      <c r="B398" s="16" t="s">
        <v>1011</v>
      </c>
      <c r="C398" s="16" t="s">
        <v>23</v>
      </c>
      <c r="D398" s="16" t="s">
        <v>24</v>
      </c>
      <c r="E398" s="17"/>
      <c r="F398" s="17">
        <v>-751.18</v>
      </c>
      <c r="G398" s="17"/>
      <c r="H398" s="17">
        <v>-751.18</v>
      </c>
      <c r="I398" s="17"/>
      <c r="J398" s="17">
        <v>100</v>
      </c>
    </row>
    <row r="399" spans="1:14" ht="45" x14ac:dyDescent="0.2">
      <c r="A399" s="15" t="s">
        <v>505</v>
      </c>
      <c r="B399" s="16" t="s">
        <v>1012</v>
      </c>
      <c r="C399" s="16" t="s">
        <v>23</v>
      </c>
      <c r="D399" s="16" t="s">
        <v>24</v>
      </c>
      <c r="E399" s="17"/>
      <c r="F399" s="17">
        <v>-96.625</v>
      </c>
      <c r="G399" s="17"/>
      <c r="H399" s="17">
        <v>-96.625</v>
      </c>
      <c r="I399" s="17"/>
      <c r="J399" s="17">
        <v>100</v>
      </c>
    </row>
    <row r="400" spans="1:14" ht="45" x14ac:dyDescent="0.2">
      <c r="A400" s="15" t="s">
        <v>505</v>
      </c>
      <c r="B400" s="16" t="s">
        <v>1013</v>
      </c>
      <c r="C400" s="16" t="s">
        <v>23</v>
      </c>
      <c r="D400" s="16" t="s">
        <v>24</v>
      </c>
      <c r="E400" s="17"/>
      <c r="F400" s="17">
        <v>-66.186999999999998</v>
      </c>
      <c r="G400" s="17"/>
      <c r="H400" s="17">
        <v>-66.186999999999998</v>
      </c>
      <c r="I400" s="17"/>
      <c r="J400" s="17">
        <v>100</v>
      </c>
    </row>
    <row r="401" spans="1:14" ht="45" x14ac:dyDescent="0.2">
      <c r="A401" s="15" t="s">
        <v>505</v>
      </c>
      <c r="B401" s="16" t="s">
        <v>1014</v>
      </c>
      <c r="C401" s="16" t="s">
        <v>23</v>
      </c>
      <c r="D401" s="16" t="s">
        <v>24</v>
      </c>
      <c r="E401" s="17"/>
      <c r="F401" s="17">
        <v>-1.6859999999999999</v>
      </c>
      <c r="G401" s="17"/>
      <c r="H401" s="17">
        <v>-1.6859999999999999</v>
      </c>
      <c r="I401" s="17"/>
      <c r="J401" s="17">
        <v>100</v>
      </c>
    </row>
    <row r="402" spans="1:14" ht="31.5" customHeight="1" x14ac:dyDescent="0.2">
      <c r="A402" s="164" t="s">
        <v>392</v>
      </c>
      <c r="B402" s="165"/>
      <c r="C402" s="165"/>
      <c r="D402" s="165"/>
      <c r="E402" s="106">
        <v>2003471.6939999999</v>
      </c>
      <c r="F402" s="106">
        <v>2432380.4530000002</v>
      </c>
      <c r="G402" s="163">
        <v>165262.80600000001</v>
      </c>
      <c r="H402" s="106">
        <v>1546069.5819999999</v>
      </c>
      <c r="I402" s="106">
        <v>77.17</v>
      </c>
      <c r="J402" s="106">
        <v>63.561999999999998</v>
      </c>
      <c r="K402" s="67"/>
      <c r="L402" s="67"/>
      <c r="M402" s="67"/>
      <c r="N402" s="67"/>
    </row>
  </sheetData>
  <mergeCells count="14">
    <mergeCell ref="B9:J9"/>
    <mergeCell ref="A2:H2"/>
    <mergeCell ref="A4:J4"/>
    <mergeCell ref="A5:J5"/>
    <mergeCell ref="B7:J7"/>
    <mergeCell ref="B8:J8"/>
    <mergeCell ref="G11:G12"/>
    <mergeCell ref="H11:H12"/>
    <mergeCell ref="A11:A12"/>
    <mergeCell ref="B11:B12"/>
    <mergeCell ref="C11:C12"/>
    <mergeCell ref="D11:D12"/>
    <mergeCell ref="E11:E12"/>
    <mergeCell ref="F11:F12"/>
  </mergeCells>
  <pageMargins left="0.59055118110236227" right="0.59055118110236227" top="0.59055118110236227" bottom="0.59055118110236227" header="0" footer="0"/>
  <pageSetup paperSize="9" scale="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6"/>
  <sheetViews>
    <sheetView showGridLines="0" workbookViewId="0">
      <pane ySplit="12" topLeftCell="A358" activePane="bottomLeft" state="frozen"/>
      <selection pane="bottomLeft" activeCell="H400" sqref="H400"/>
    </sheetView>
  </sheetViews>
  <sheetFormatPr defaultRowHeight="12.75" customHeight="1" x14ac:dyDescent="0.2"/>
  <cols>
    <col min="1" max="1" width="44.7109375" customWidth="1"/>
    <col min="2" max="2" width="23.7109375" customWidth="1"/>
    <col min="3" max="4" width="10.85546875" customWidth="1"/>
    <col min="5" max="5" width="16.7109375" customWidth="1"/>
    <col min="6" max="6" width="16.7109375" style="265" customWidth="1"/>
    <col min="7" max="10" width="16.7109375" customWidth="1"/>
    <col min="11" max="11" width="10.140625" bestFit="1" customWidth="1"/>
  </cols>
  <sheetData>
    <row r="1" spans="1:12" ht="12.75" customHeight="1" x14ac:dyDescent="0.2">
      <c r="A1" s="1" t="s">
        <v>2</v>
      </c>
      <c r="B1" s="1"/>
      <c r="C1" s="1"/>
      <c r="D1" s="1"/>
      <c r="E1" s="1"/>
      <c r="F1" s="261"/>
      <c r="G1" s="1"/>
      <c r="H1" s="1"/>
      <c r="I1" s="158"/>
      <c r="J1" s="3"/>
    </row>
    <row r="2" spans="1:12" ht="12.75" customHeight="1" x14ac:dyDescent="0.2">
      <c r="A2" s="287" t="s">
        <v>0</v>
      </c>
      <c r="B2" s="287"/>
      <c r="C2" s="287"/>
      <c r="D2" s="287"/>
      <c r="E2" s="287"/>
      <c r="F2" s="287"/>
      <c r="G2" s="287"/>
      <c r="H2" s="287"/>
      <c r="I2" s="159" t="s">
        <v>3</v>
      </c>
      <c r="J2" s="5" t="s">
        <v>1072</v>
      </c>
    </row>
    <row r="3" spans="1:12" ht="12.75" customHeight="1" x14ac:dyDescent="0.2">
      <c r="A3" s="6"/>
      <c r="B3" s="7"/>
      <c r="C3" s="7"/>
      <c r="D3" s="7"/>
      <c r="E3" s="7"/>
      <c r="F3" s="262"/>
      <c r="G3" s="7"/>
      <c r="H3" s="6"/>
      <c r="I3" s="8"/>
      <c r="J3" s="6"/>
    </row>
    <row r="4" spans="1:12" ht="16.5" customHeight="1" x14ac:dyDescent="0.25">
      <c r="A4" s="288" t="s">
        <v>1</v>
      </c>
      <c r="B4" s="288"/>
      <c r="C4" s="288"/>
      <c r="D4" s="288"/>
      <c r="E4" s="288"/>
      <c r="F4" s="288"/>
      <c r="G4" s="288"/>
      <c r="H4" s="288"/>
      <c r="I4" s="288"/>
      <c r="J4" s="288"/>
    </row>
    <row r="5" spans="1:12" ht="18" customHeight="1" x14ac:dyDescent="0.25">
      <c r="A5" s="288" t="s">
        <v>690</v>
      </c>
      <c r="B5" s="288"/>
      <c r="C5" s="288"/>
      <c r="D5" s="288"/>
      <c r="E5" s="288"/>
      <c r="F5" s="288"/>
      <c r="G5" s="288"/>
      <c r="H5" s="288"/>
      <c r="I5" s="288"/>
      <c r="J5" s="288"/>
    </row>
    <row r="6" spans="1:12" ht="12.75" customHeight="1" x14ac:dyDescent="0.2">
      <c r="A6" s="6"/>
      <c r="B6" s="7"/>
      <c r="C6" s="7"/>
      <c r="D6" s="7"/>
      <c r="E6" s="7"/>
      <c r="F6" s="262"/>
      <c r="G6" s="7"/>
      <c r="H6" s="6"/>
      <c r="I6" s="8"/>
      <c r="J6" s="6"/>
    </row>
    <row r="7" spans="1:12" x14ac:dyDescent="0.2">
      <c r="A7" s="9" t="s">
        <v>4</v>
      </c>
      <c r="B7" s="289" t="s">
        <v>5</v>
      </c>
      <c r="C7" s="289"/>
      <c r="D7" s="289"/>
      <c r="E7" s="289"/>
      <c r="F7" s="289"/>
      <c r="G7" s="289"/>
      <c r="H7" s="289"/>
      <c r="I7" s="289"/>
      <c r="J7" s="289"/>
    </row>
    <row r="8" spans="1:12" x14ac:dyDescent="0.2">
      <c r="A8" s="9" t="s">
        <v>691</v>
      </c>
      <c r="B8" s="289" t="s">
        <v>1073</v>
      </c>
      <c r="C8" s="289"/>
      <c r="D8" s="289"/>
      <c r="E8" s="289"/>
      <c r="F8" s="289"/>
      <c r="G8" s="289"/>
      <c r="H8" s="289"/>
      <c r="I8" s="289"/>
      <c r="J8" s="289"/>
    </row>
    <row r="9" spans="1:12" x14ac:dyDescent="0.2">
      <c r="A9" s="9" t="s">
        <v>692</v>
      </c>
      <c r="B9" s="289" t="s">
        <v>1074</v>
      </c>
      <c r="C9" s="289"/>
      <c r="D9" s="289"/>
      <c r="E9" s="289"/>
      <c r="F9" s="289"/>
      <c r="G9" s="289"/>
      <c r="H9" s="289"/>
      <c r="I9" s="289"/>
      <c r="J9" s="289"/>
    </row>
    <row r="10" spans="1:12" ht="12.75" customHeight="1" x14ac:dyDescent="0.2">
      <c r="A10" s="6"/>
      <c r="B10" s="7"/>
      <c r="C10" s="7"/>
      <c r="D10" s="7"/>
      <c r="E10" s="7"/>
      <c r="F10" s="262"/>
      <c r="G10" s="7"/>
      <c r="H10" s="6"/>
      <c r="I10" s="8" t="s">
        <v>518</v>
      </c>
      <c r="J10" s="6"/>
    </row>
    <row r="11" spans="1:12" ht="39.75" customHeight="1" x14ac:dyDescent="0.2">
      <c r="A11" s="286" t="s">
        <v>6</v>
      </c>
      <c r="B11" s="286" t="s">
        <v>7</v>
      </c>
      <c r="C11" s="286" t="s">
        <v>8</v>
      </c>
      <c r="D11" s="286" t="s">
        <v>9</v>
      </c>
      <c r="E11" s="286" t="s">
        <v>10</v>
      </c>
      <c r="F11" s="290" t="s">
        <v>11</v>
      </c>
      <c r="G11" s="286" t="s">
        <v>1075</v>
      </c>
      <c r="H11" s="286" t="s">
        <v>1076</v>
      </c>
      <c r="I11" s="10" t="s">
        <v>12</v>
      </c>
      <c r="J11" s="10" t="s">
        <v>14</v>
      </c>
    </row>
    <row r="12" spans="1:12" ht="13.35" customHeight="1" x14ac:dyDescent="0.2">
      <c r="A12" s="286"/>
      <c r="B12" s="286"/>
      <c r="C12" s="286"/>
      <c r="D12" s="286"/>
      <c r="E12" s="286"/>
      <c r="F12" s="290"/>
      <c r="G12" s="286"/>
      <c r="H12" s="286"/>
      <c r="I12" s="10" t="s">
        <v>13</v>
      </c>
      <c r="J12" s="10" t="s">
        <v>13</v>
      </c>
    </row>
    <row r="13" spans="1:12" ht="18" customHeight="1" x14ac:dyDescent="0.2">
      <c r="A13" s="161" t="s">
        <v>15</v>
      </c>
      <c r="B13" s="162" t="s">
        <v>16</v>
      </c>
      <c r="C13" s="162"/>
      <c r="D13" s="162"/>
      <c r="E13" s="66">
        <v>542434.255</v>
      </c>
      <c r="F13" s="263">
        <v>585205.48499999999</v>
      </c>
      <c r="G13" s="163">
        <v>57374.811000000002</v>
      </c>
      <c r="H13" s="66">
        <v>480324.37199999997</v>
      </c>
      <c r="I13" s="66">
        <v>88.55</v>
      </c>
      <c r="J13" s="66">
        <v>82.078000000000003</v>
      </c>
      <c r="K13" s="67"/>
      <c r="L13" s="67"/>
    </row>
    <row r="14" spans="1:12" ht="18" customHeight="1" x14ac:dyDescent="0.2">
      <c r="A14" s="161" t="s">
        <v>17</v>
      </c>
      <c r="B14" s="162" t="s">
        <v>18</v>
      </c>
      <c r="C14" s="162"/>
      <c r="D14" s="162"/>
      <c r="E14" s="66">
        <v>396092.3</v>
      </c>
      <c r="F14" s="263">
        <v>413092.9</v>
      </c>
      <c r="G14" s="163">
        <v>34164.673999999999</v>
      </c>
      <c r="H14" s="66">
        <v>326434.77799999999</v>
      </c>
      <c r="I14" s="66">
        <v>82.414000000000001</v>
      </c>
      <c r="J14" s="66">
        <v>79.022000000000006</v>
      </c>
    </row>
    <row r="15" spans="1:12" ht="18" customHeight="1" x14ac:dyDescent="0.2">
      <c r="A15" s="161" t="s">
        <v>19</v>
      </c>
      <c r="B15" s="162" t="s">
        <v>20</v>
      </c>
      <c r="C15" s="162"/>
      <c r="D15" s="162"/>
      <c r="E15" s="66">
        <v>396092.3</v>
      </c>
      <c r="F15" s="263">
        <v>413092.9</v>
      </c>
      <c r="G15" s="163">
        <v>34164.673999999999</v>
      </c>
      <c r="H15" s="66">
        <v>326434.77799999999</v>
      </c>
      <c r="I15" s="66">
        <v>82.414000000000001</v>
      </c>
      <c r="J15" s="66">
        <v>79.022000000000006</v>
      </c>
    </row>
    <row r="16" spans="1:12" ht="67.5" x14ac:dyDescent="0.2">
      <c r="A16" s="14" t="s">
        <v>874</v>
      </c>
      <c r="B16" s="12" t="s">
        <v>21</v>
      </c>
      <c r="C16" s="12"/>
      <c r="D16" s="12"/>
      <c r="E16" s="13">
        <v>384504.2</v>
      </c>
      <c r="F16" s="263">
        <v>401504.8</v>
      </c>
      <c r="G16" s="13">
        <v>33518.173000000003</v>
      </c>
      <c r="H16" s="13">
        <v>317815.12400000001</v>
      </c>
      <c r="I16" s="13">
        <v>82.656000000000006</v>
      </c>
      <c r="J16" s="13">
        <v>79.156000000000006</v>
      </c>
    </row>
    <row r="17" spans="1:10" ht="67.5" x14ac:dyDescent="0.2">
      <c r="A17" s="18" t="s">
        <v>874</v>
      </c>
      <c r="B17" s="16" t="s">
        <v>22</v>
      </c>
      <c r="C17" s="16" t="s">
        <v>23</v>
      </c>
      <c r="D17" s="16" t="s">
        <v>24</v>
      </c>
      <c r="E17" s="17">
        <v>384504.2</v>
      </c>
      <c r="F17" s="264">
        <v>401504.8</v>
      </c>
      <c r="G17" s="17"/>
      <c r="H17" s="17"/>
      <c r="I17" s="17"/>
      <c r="J17" s="17"/>
    </row>
    <row r="18" spans="1:10" ht="101.25" x14ac:dyDescent="0.2">
      <c r="A18" s="14" t="s">
        <v>25</v>
      </c>
      <c r="B18" s="12" t="s">
        <v>26</v>
      </c>
      <c r="C18" s="12"/>
      <c r="D18" s="12"/>
      <c r="E18" s="13"/>
      <c r="F18" s="263"/>
      <c r="G18" s="13">
        <v>33512.374000000003</v>
      </c>
      <c r="H18" s="13">
        <v>317154.179</v>
      </c>
      <c r="I18" s="13"/>
      <c r="J18" s="13"/>
    </row>
    <row r="19" spans="1:10" ht="90" x14ac:dyDescent="0.2">
      <c r="A19" s="18" t="s">
        <v>25</v>
      </c>
      <c r="B19" s="16" t="s">
        <v>27</v>
      </c>
      <c r="C19" s="16" t="s">
        <v>23</v>
      </c>
      <c r="D19" s="16" t="s">
        <v>24</v>
      </c>
      <c r="E19" s="17"/>
      <c r="F19" s="264"/>
      <c r="G19" s="17">
        <v>33512.374000000003</v>
      </c>
      <c r="H19" s="17">
        <v>317154.179</v>
      </c>
      <c r="I19" s="17"/>
      <c r="J19" s="17"/>
    </row>
    <row r="20" spans="1:10" ht="78.75" x14ac:dyDescent="0.2">
      <c r="A20" s="14" t="s">
        <v>28</v>
      </c>
      <c r="B20" s="12" t="s">
        <v>29</v>
      </c>
      <c r="C20" s="12"/>
      <c r="D20" s="12"/>
      <c r="E20" s="13"/>
      <c r="F20" s="263"/>
      <c r="G20" s="13">
        <v>18.402999999999999</v>
      </c>
      <c r="H20" s="13">
        <v>378.85399999999998</v>
      </c>
      <c r="I20" s="13"/>
      <c r="J20" s="13"/>
    </row>
    <row r="21" spans="1:10" ht="67.5" x14ac:dyDescent="0.2">
      <c r="A21" s="18" t="s">
        <v>28</v>
      </c>
      <c r="B21" s="16" t="s">
        <v>30</v>
      </c>
      <c r="C21" s="16" t="s">
        <v>23</v>
      </c>
      <c r="D21" s="16" t="s">
        <v>24</v>
      </c>
      <c r="E21" s="17"/>
      <c r="F21" s="264"/>
      <c r="G21" s="17">
        <v>18.402999999999999</v>
      </c>
      <c r="H21" s="17">
        <v>378.85399999999998</v>
      </c>
      <c r="I21" s="17"/>
      <c r="J21" s="17"/>
    </row>
    <row r="22" spans="1:10" ht="90" x14ac:dyDescent="0.2">
      <c r="A22" s="14" t="s">
        <v>31</v>
      </c>
      <c r="B22" s="12" t="s">
        <v>32</v>
      </c>
      <c r="C22" s="12"/>
      <c r="D22" s="12"/>
      <c r="E22" s="13"/>
      <c r="F22" s="263"/>
      <c r="G22" s="13">
        <v>-12.603</v>
      </c>
      <c r="H22" s="13">
        <v>282.08999999999997</v>
      </c>
      <c r="I22" s="13"/>
      <c r="J22" s="13"/>
    </row>
    <row r="23" spans="1:10" ht="90" x14ac:dyDescent="0.2">
      <c r="A23" s="18" t="s">
        <v>31</v>
      </c>
      <c r="B23" s="16" t="s">
        <v>33</v>
      </c>
      <c r="C23" s="16" t="s">
        <v>23</v>
      </c>
      <c r="D23" s="16" t="s">
        <v>24</v>
      </c>
      <c r="E23" s="17"/>
      <c r="F23" s="264"/>
      <c r="G23" s="17">
        <v>-12.603</v>
      </c>
      <c r="H23" s="17">
        <v>282.08999999999997</v>
      </c>
      <c r="I23" s="17"/>
      <c r="J23" s="17"/>
    </row>
    <row r="24" spans="1:10" ht="78.75" x14ac:dyDescent="0.2">
      <c r="A24" s="14" t="s">
        <v>34</v>
      </c>
      <c r="B24" s="12" t="s">
        <v>35</v>
      </c>
      <c r="C24" s="12"/>
      <c r="D24" s="12"/>
      <c r="E24" s="13"/>
      <c r="F24" s="263"/>
      <c r="G24" s="13"/>
      <c r="H24" s="13"/>
      <c r="I24" s="13"/>
      <c r="J24" s="13"/>
    </row>
    <row r="25" spans="1:10" ht="67.5" x14ac:dyDescent="0.2">
      <c r="A25" s="18" t="s">
        <v>34</v>
      </c>
      <c r="B25" s="16" t="s">
        <v>36</v>
      </c>
      <c r="C25" s="16" t="s">
        <v>23</v>
      </c>
      <c r="D25" s="16" t="s">
        <v>24</v>
      </c>
      <c r="E25" s="17"/>
      <c r="F25" s="264"/>
      <c r="G25" s="17"/>
      <c r="H25" s="17"/>
      <c r="I25" s="17"/>
      <c r="J25" s="17"/>
    </row>
    <row r="26" spans="1:10" ht="101.25" x14ac:dyDescent="0.2">
      <c r="A26" s="14" t="s">
        <v>37</v>
      </c>
      <c r="B26" s="12" t="s">
        <v>38</v>
      </c>
      <c r="C26" s="12"/>
      <c r="D26" s="12"/>
      <c r="E26" s="13">
        <v>1555.1</v>
      </c>
      <c r="F26" s="263">
        <v>1555.1</v>
      </c>
      <c r="G26" s="13">
        <v>31.224</v>
      </c>
      <c r="H26" s="13">
        <v>1049.559</v>
      </c>
      <c r="I26" s="13">
        <v>67.491</v>
      </c>
      <c r="J26" s="13">
        <v>67.491</v>
      </c>
    </row>
    <row r="27" spans="1:10" ht="90" x14ac:dyDescent="0.2">
      <c r="A27" s="18" t="s">
        <v>37</v>
      </c>
      <c r="B27" s="16" t="s">
        <v>39</v>
      </c>
      <c r="C27" s="16" t="s">
        <v>23</v>
      </c>
      <c r="D27" s="16" t="s">
        <v>24</v>
      </c>
      <c r="E27" s="17">
        <v>1555.1</v>
      </c>
      <c r="F27" s="264">
        <v>1555.1</v>
      </c>
      <c r="G27" s="17"/>
      <c r="H27" s="17"/>
      <c r="I27" s="17"/>
      <c r="J27" s="17"/>
    </row>
    <row r="28" spans="1:10" ht="135" x14ac:dyDescent="0.2">
      <c r="A28" s="14" t="s">
        <v>40</v>
      </c>
      <c r="B28" s="12" t="s">
        <v>41</v>
      </c>
      <c r="C28" s="12"/>
      <c r="D28" s="12"/>
      <c r="E28" s="13"/>
      <c r="F28" s="263"/>
      <c r="G28" s="13">
        <v>31.138000000000002</v>
      </c>
      <c r="H28" s="13">
        <v>1007.083</v>
      </c>
      <c r="I28" s="13"/>
      <c r="J28" s="13"/>
    </row>
    <row r="29" spans="1:10" ht="123.75" x14ac:dyDescent="0.2">
      <c r="A29" s="18" t="s">
        <v>40</v>
      </c>
      <c r="B29" s="16" t="s">
        <v>42</v>
      </c>
      <c r="C29" s="16" t="s">
        <v>23</v>
      </c>
      <c r="D29" s="16" t="s">
        <v>24</v>
      </c>
      <c r="E29" s="17"/>
      <c r="F29" s="264"/>
      <c r="G29" s="17">
        <v>31.138000000000002</v>
      </c>
      <c r="H29" s="17">
        <v>1007.083</v>
      </c>
      <c r="I29" s="17"/>
      <c r="J29" s="17"/>
    </row>
    <row r="30" spans="1:10" ht="112.5" x14ac:dyDescent="0.2">
      <c r="A30" s="14" t="s">
        <v>43</v>
      </c>
      <c r="B30" s="12" t="s">
        <v>44</v>
      </c>
      <c r="C30" s="12"/>
      <c r="D30" s="12"/>
      <c r="E30" s="13"/>
      <c r="F30" s="263"/>
      <c r="G30" s="13">
        <v>7.0999999999999994E-2</v>
      </c>
      <c r="H30" s="13">
        <v>38.305999999999997</v>
      </c>
      <c r="I30" s="13"/>
      <c r="J30" s="13"/>
    </row>
    <row r="31" spans="1:10" ht="101.25" x14ac:dyDescent="0.2">
      <c r="A31" s="18" t="s">
        <v>43</v>
      </c>
      <c r="B31" s="16" t="s">
        <v>45</v>
      </c>
      <c r="C31" s="16" t="s">
        <v>23</v>
      </c>
      <c r="D31" s="16" t="s">
        <v>24</v>
      </c>
      <c r="E31" s="17"/>
      <c r="F31" s="264"/>
      <c r="G31" s="17">
        <v>7.0999999999999994E-2</v>
      </c>
      <c r="H31" s="17">
        <v>38.305999999999997</v>
      </c>
      <c r="I31" s="17"/>
      <c r="J31" s="17"/>
    </row>
    <row r="32" spans="1:10" ht="123.75" x14ac:dyDescent="0.2">
      <c r="A32" s="14" t="s">
        <v>46</v>
      </c>
      <c r="B32" s="12" t="s">
        <v>47</v>
      </c>
      <c r="C32" s="12"/>
      <c r="D32" s="12"/>
      <c r="E32" s="13"/>
      <c r="F32" s="263"/>
      <c r="G32" s="13">
        <v>1.4999999999999999E-2</v>
      </c>
      <c r="H32" s="13">
        <v>4.17</v>
      </c>
      <c r="I32" s="13"/>
      <c r="J32" s="13"/>
    </row>
    <row r="33" spans="1:10" ht="112.5" x14ac:dyDescent="0.2">
      <c r="A33" s="18" t="s">
        <v>46</v>
      </c>
      <c r="B33" s="16" t="s">
        <v>48</v>
      </c>
      <c r="C33" s="16" t="s">
        <v>23</v>
      </c>
      <c r="D33" s="16" t="s">
        <v>24</v>
      </c>
      <c r="E33" s="17"/>
      <c r="F33" s="264"/>
      <c r="G33" s="17">
        <v>1.4999999999999999E-2</v>
      </c>
      <c r="H33" s="17">
        <v>4.17</v>
      </c>
      <c r="I33" s="17"/>
      <c r="J33" s="17"/>
    </row>
    <row r="34" spans="1:10" ht="45" x14ac:dyDescent="0.2">
      <c r="A34" s="11" t="s">
        <v>50</v>
      </c>
      <c r="B34" s="12" t="s">
        <v>51</v>
      </c>
      <c r="C34" s="12"/>
      <c r="D34" s="12"/>
      <c r="E34" s="13">
        <v>2721.5</v>
      </c>
      <c r="F34" s="263">
        <v>2721.5</v>
      </c>
      <c r="G34" s="13">
        <v>94.691000000000003</v>
      </c>
      <c r="H34" s="13">
        <v>833.76300000000003</v>
      </c>
      <c r="I34" s="13">
        <v>30.635999999999999</v>
      </c>
      <c r="J34" s="13">
        <v>30.635999999999999</v>
      </c>
    </row>
    <row r="35" spans="1:10" ht="33.75" x14ac:dyDescent="0.2">
      <c r="A35" s="15" t="s">
        <v>50</v>
      </c>
      <c r="B35" s="16" t="s">
        <v>52</v>
      </c>
      <c r="C35" s="16" t="s">
        <v>23</v>
      </c>
      <c r="D35" s="16" t="s">
        <v>24</v>
      </c>
      <c r="E35" s="17">
        <v>2721.5</v>
      </c>
      <c r="F35" s="264">
        <v>2721.5</v>
      </c>
      <c r="G35" s="17"/>
      <c r="H35" s="17"/>
      <c r="I35" s="17"/>
      <c r="J35" s="17"/>
    </row>
    <row r="36" spans="1:10" ht="67.5" x14ac:dyDescent="0.2">
      <c r="A36" s="11" t="s">
        <v>53</v>
      </c>
      <c r="B36" s="12" t="s">
        <v>54</v>
      </c>
      <c r="C36" s="12"/>
      <c r="D36" s="12"/>
      <c r="E36" s="13"/>
      <c r="F36" s="263"/>
      <c r="G36" s="13">
        <v>89.62</v>
      </c>
      <c r="H36" s="13">
        <v>807.43600000000004</v>
      </c>
      <c r="I36" s="13"/>
      <c r="J36" s="13"/>
    </row>
    <row r="37" spans="1:10" ht="67.5" x14ac:dyDescent="0.2">
      <c r="A37" s="15" t="s">
        <v>53</v>
      </c>
      <c r="B37" s="16" t="s">
        <v>55</v>
      </c>
      <c r="C37" s="16" t="s">
        <v>23</v>
      </c>
      <c r="D37" s="16" t="s">
        <v>24</v>
      </c>
      <c r="E37" s="17"/>
      <c r="F37" s="264"/>
      <c r="G37" s="17">
        <v>89.62</v>
      </c>
      <c r="H37" s="17">
        <v>807.43600000000004</v>
      </c>
      <c r="I37" s="17"/>
      <c r="J37" s="17"/>
    </row>
    <row r="38" spans="1:10" ht="45" x14ac:dyDescent="0.2">
      <c r="A38" s="11" t="s">
        <v>56</v>
      </c>
      <c r="B38" s="12" t="s">
        <v>57</v>
      </c>
      <c r="C38" s="12"/>
      <c r="D38" s="12"/>
      <c r="E38" s="13"/>
      <c r="F38" s="263"/>
      <c r="G38" s="13">
        <v>0.996</v>
      </c>
      <c r="H38" s="13">
        <v>7.3070000000000004</v>
      </c>
      <c r="I38" s="13"/>
      <c r="J38" s="13"/>
    </row>
    <row r="39" spans="1:10" ht="45" x14ac:dyDescent="0.2">
      <c r="A39" s="15" t="s">
        <v>56</v>
      </c>
      <c r="B39" s="16" t="s">
        <v>58</v>
      </c>
      <c r="C39" s="16" t="s">
        <v>23</v>
      </c>
      <c r="D39" s="16" t="s">
        <v>24</v>
      </c>
      <c r="E39" s="17"/>
      <c r="F39" s="264"/>
      <c r="G39" s="17">
        <v>0.996</v>
      </c>
      <c r="H39" s="17">
        <v>7.3070000000000004</v>
      </c>
      <c r="I39" s="17"/>
      <c r="J39" s="17"/>
    </row>
    <row r="40" spans="1:10" ht="67.5" x14ac:dyDescent="0.2">
      <c r="A40" s="11" t="s">
        <v>59</v>
      </c>
      <c r="B40" s="12" t="s">
        <v>60</v>
      </c>
      <c r="C40" s="12"/>
      <c r="D40" s="12"/>
      <c r="E40" s="13"/>
      <c r="F40" s="263"/>
      <c r="G40" s="13">
        <v>4.0750000000000002</v>
      </c>
      <c r="H40" s="13">
        <v>19.216999999999999</v>
      </c>
      <c r="I40" s="13"/>
      <c r="J40" s="13"/>
    </row>
    <row r="41" spans="1:10" ht="67.5" x14ac:dyDescent="0.2">
      <c r="A41" s="15" t="s">
        <v>59</v>
      </c>
      <c r="B41" s="16" t="s">
        <v>61</v>
      </c>
      <c r="C41" s="16" t="s">
        <v>23</v>
      </c>
      <c r="D41" s="16" t="s">
        <v>24</v>
      </c>
      <c r="E41" s="17"/>
      <c r="F41" s="264"/>
      <c r="G41" s="17">
        <v>4.0750000000000002</v>
      </c>
      <c r="H41" s="17">
        <v>19.216999999999999</v>
      </c>
      <c r="I41" s="17"/>
      <c r="J41" s="17"/>
    </row>
    <row r="42" spans="1:10" ht="45" x14ac:dyDescent="0.2">
      <c r="A42" s="11" t="s">
        <v>62</v>
      </c>
      <c r="B42" s="12" t="s">
        <v>63</v>
      </c>
      <c r="C42" s="12"/>
      <c r="D42" s="12"/>
      <c r="E42" s="13"/>
      <c r="F42" s="263"/>
      <c r="G42" s="13"/>
      <c r="H42" s="13">
        <v>-0.19800000000000001</v>
      </c>
      <c r="I42" s="13"/>
      <c r="J42" s="13"/>
    </row>
    <row r="43" spans="1:10" ht="45" x14ac:dyDescent="0.2">
      <c r="A43" s="15" t="s">
        <v>62</v>
      </c>
      <c r="B43" s="16" t="s">
        <v>64</v>
      </c>
      <c r="C43" s="16" t="s">
        <v>23</v>
      </c>
      <c r="D43" s="16" t="s">
        <v>24</v>
      </c>
      <c r="E43" s="17"/>
      <c r="F43" s="264"/>
      <c r="G43" s="17"/>
      <c r="H43" s="17">
        <v>-0.19800000000000001</v>
      </c>
      <c r="I43" s="17"/>
      <c r="J43" s="17"/>
    </row>
    <row r="44" spans="1:10" ht="78.75" x14ac:dyDescent="0.2">
      <c r="A44" s="14" t="s">
        <v>65</v>
      </c>
      <c r="B44" s="12" t="s">
        <v>66</v>
      </c>
      <c r="C44" s="12"/>
      <c r="D44" s="12"/>
      <c r="E44" s="13">
        <v>7311.5</v>
      </c>
      <c r="F44" s="263">
        <v>7311.5</v>
      </c>
      <c r="G44" s="13">
        <v>520.58600000000001</v>
      </c>
      <c r="H44" s="13">
        <v>6736.3329999999996</v>
      </c>
      <c r="I44" s="13">
        <v>92.132999999999996</v>
      </c>
      <c r="J44" s="13">
        <v>92.132999999999996</v>
      </c>
    </row>
    <row r="45" spans="1:10" ht="67.5" x14ac:dyDescent="0.2">
      <c r="A45" s="18" t="s">
        <v>65</v>
      </c>
      <c r="B45" s="16" t="s">
        <v>67</v>
      </c>
      <c r="C45" s="16" t="s">
        <v>23</v>
      </c>
      <c r="D45" s="16" t="s">
        <v>24</v>
      </c>
      <c r="E45" s="17">
        <v>7311.5</v>
      </c>
      <c r="F45" s="264">
        <v>7311.5</v>
      </c>
      <c r="G45" s="17"/>
      <c r="H45" s="17"/>
      <c r="I45" s="17"/>
      <c r="J45" s="17"/>
    </row>
    <row r="46" spans="1:10" ht="112.5" x14ac:dyDescent="0.2">
      <c r="A46" s="14" t="s">
        <v>68</v>
      </c>
      <c r="B46" s="12" t="s">
        <v>69</v>
      </c>
      <c r="C46" s="12"/>
      <c r="D46" s="12"/>
      <c r="E46" s="13"/>
      <c r="F46" s="263"/>
      <c r="G46" s="13">
        <v>520.58600000000001</v>
      </c>
      <c r="H46" s="13">
        <v>6736.3329999999996</v>
      </c>
      <c r="I46" s="13"/>
      <c r="J46" s="13"/>
    </row>
    <row r="47" spans="1:10" ht="101.25" x14ac:dyDescent="0.2">
      <c r="A47" s="18" t="s">
        <v>68</v>
      </c>
      <c r="B47" s="16" t="s">
        <v>70</v>
      </c>
      <c r="C47" s="16" t="s">
        <v>23</v>
      </c>
      <c r="D47" s="16" t="s">
        <v>24</v>
      </c>
      <c r="E47" s="17"/>
      <c r="F47" s="264"/>
      <c r="G47" s="17">
        <v>520.58600000000001</v>
      </c>
      <c r="H47" s="17">
        <v>6736.3329999999996</v>
      </c>
      <c r="I47" s="17"/>
      <c r="J47" s="17"/>
    </row>
    <row r="48" spans="1:10" ht="33.75" x14ac:dyDescent="0.2">
      <c r="A48" s="161" t="s">
        <v>694</v>
      </c>
      <c r="B48" s="162" t="s">
        <v>695</v>
      </c>
      <c r="C48" s="162"/>
      <c r="D48" s="162"/>
      <c r="E48" s="66">
        <v>4845.4799999999996</v>
      </c>
      <c r="F48" s="263">
        <v>7641.027</v>
      </c>
      <c r="G48" s="163">
        <v>673.70299999999997</v>
      </c>
      <c r="H48" s="66">
        <v>6317.6540000000005</v>
      </c>
      <c r="I48" s="66">
        <v>130.38200000000001</v>
      </c>
      <c r="J48" s="66">
        <v>82.680999999999997</v>
      </c>
    </row>
    <row r="49" spans="1:11" ht="33.75" x14ac:dyDescent="0.2">
      <c r="A49" s="11" t="s">
        <v>405</v>
      </c>
      <c r="B49" s="12" t="s">
        <v>696</v>
      </c>
      <c r="C49" s="12"/>
      <c r="D49" s="12"/>
      <c r="E49" s="13">
        <v>4845.4799999999996</v>
      </c>
      <c r="F49" s="263">
        <v>7641.027</v>
      </c>
      <c r="G49" s="13">
        <v>673.70299999999997</v>
      </c>
      <c r="H49" s="13">
        <v>6317.6540000000005</v>
      </c>
      <c r="I49" s="13">
        <v>130.38200000000001</v>
      </c>
      <c r="J49" s="13">
        <v>82.680999999999997</v>
      </c>
    </row>
    <row r="50" spans="1:11" ht="67.5" x14ac:dyDescent="0.2">
      <c r="A50" s="11" t="s">
        <v>418</v>
      </c>
      <c r="B50" s="12" t="s">
        <v>697</v>
      </c>
      <c r="C50" s="12"/>
      <c r="D50" s="12"/>
      <c r="E50" s="13">
        <v>2107.7800000000002</v>
      </c>
      <c r="F50" s="263">
        <v>3490.078</v>
      </c>
      <c r="G50" s="13">
        <v>308.21100000000001</v>
      </c>
      <c r="H50" s="13">
        <v>2863.1190000000001</v>
      </c>
      <c r="I50" s="13">
        <v>135.83600000000001</v>
      </c>
      <c r="J50" s="13">
        <v>82.036000000000001</v>
      </c>
    </row>
    <row r="51" spans="1:11" ht="101.25" x14ac:dyDescent="0.2">
      <c r="A51" s="14" t="s">
        <v>880</v>
      </c>
      <c r="B51" s="12" t="s">
        <v>881</v>
      </c>
      <c r="C51" s="12"/>
      <c r="D51" s="12"/>
      <c r="E51" s="13">
        <v>2107.7800000000002</v>
      </c>
      <c r="F51" s="263">
        <v>3490.078</v>
      </c>
      <c r="G51" s="13">
        <v>308.21100000000001</v>
      </c>
      <c r="H51" s="13">
        <v>2863.1190000000001</v>
      </c>
      <c r="I51" s="13">
        <v>135.83600000000001</v>
      </c>
      <c r="J51" s="13">
        <v>82.036000000000001</v>
      </c>
    </row>
    <row r="52" spans="1:11" ht="101.25" x14ac:dyDescent="0.2">
      <c r="A52" s="18" t="s">
        <v>880</v>
      </c>
      <c r="B52" s="16" t="s">
        <v>882</v>
      </c>
      <c r="C52" s="16" t="s">
        <v>23</v>
      </c>
      <c r="D52" s="16" t="s">
        <v>24</v>
      </c>
      <c r="E52" s="17">
        <v>2107.7800000000002</v>
      </c>
      <c r="F52" s="264">
        <v>3490.078</v>
      </c>
      <c r="G52" s="17">
        <v>308.21100000000001</v>
      </c>
      <c r="H52" s="17">
        <v>2863.1190000000001</v>
      </c>
      <c r="I52" s="17">
        <v>135.83600000000001</v>
      </c>
      <c r="J52" s="17">
        <v>82.036000000000001</v>
      </c>
    </row>
    <row r="53" spans="1:11" ht="78.75" x14ac:dyDescent="0.2">
      <c r="A53" s="14" t="s">
        <v>417</v>
      </c>
      <c r="B53" s="12" t="s">
        <v>698</v>
      </c>
      <c r="C53" s="12"/>
      <c r="D53" s="12"/>
      <c r="E53" s="13">
        <v>19.399999999999999</v>
      </c>
      <c r="F53" s="263">
        <v>18.864000000000001</v>
      </c>
      <c r="G53" s="13">
        <v>1.9830000000000001</v>
      </c>
      <c r="H53" s="13">
        <v>21.407</v>
      </c>
      <c r="I53" s="13">
        <v>110.343</v>
      </c>
      <c r="J53" s="13">
        <v>113.482</v>
      </c>
    </row>
    <row r="54" spans="1:11" ht="112.5" x14ac:dyDescent="0.2">
      <c r="A54" s="14" t="s">
        <v>883</v>
      </c>
      <c r="B54" s="12" t="s">
        <v>884</v>
      </c>
      <c r="C54" s="12"/>
      <c r="D54" s="12"/>
      <c r="E54" s="13">
        <v>19.399999999999999</v>
      </c>
      <c r="F54" s="263">
        <v>18.864000000000001</v>
      </c>
      <c r="G54" s="13">
        <v>1.9830000000000001</v>
      </c>
      <c r="H54" s="13">
        <v>21.407</v>
      </c>
      <c r="I54" s="13">
        <v>110.343</v>
      </c>
      <c r="J54" s="13">
        <v>113.482</v>
      </c>
    </row>
    <row r="55" spans="1:11" ht="112.5" x14ac:dyDescent="0.2">
      <c r="A55" s="18" t="s">
        <v>883</v>
      </c>
      <c r="B55" s="16" t="s">
        <v>885</v>
      </c>
      <c r="C55" s="16" t="s">
        <v>23</v>
      </c>
      <c r="D55" s="16" t="s">
        <v>24</v>
      </c>
      <c r="E55" s="17">
        <v>19.399999999999999</v>
      </c>
      <c r="F55" s="264">
        <v>18.864000000000001</v>
      </c>
      <c r="G55" s="17">
        <v>1.9830000000000001</v>
      </c>
      <c r="H55" s="17">
        <v>21.407</v>
      </c>
      <c r="I55" s="17">
        <v>110.343</v>
      </c>
      <c r="J55" s="17">
        <v>113.482</v>
      </c>
    </row>
    <row r="56" spans="1:11" ht="67.5" x14ac:dyDescent="0.2">
      <c r="A56" s="11" t="s">
        <v>416</v>
      </c>
      <c r="B56" s="12" t="s">
        <v>699</v>
      </c>
      <c r="C56" s="12"/>
      <c r="D56" s="12"/>
      <c r="E56" s="13">
        <v>3188.3</v>
      </c>
      <c r="F56" s="263">
        <v>4674.9780000000001</v>
      </c>
      <c r="G56" s="13">
        <v>391.03100000000001</v>
      </c>
      <c r="H56" s="13">
        <v>3892.7629999999999</v>
      </c>
      <c r="I56" s="13">
        <v>122.095</v>
      </c>
      <c r="J56" s="13">
        <v>83.268000000000001</v>
      </c>
    </row>
    <row r="57" spans="1:11" ht="101.25" x14ac:dyDescent="0.2">
      <c r="A57" s="14" t="s">
        <v>886</v>
      </c>
      <c r="B57" s="12" t="s">
        <v>887</v>
      </c>
      <c r="C57" s="12"/>
      <c r="D57" s="12"/>
      <c r="E57" s="13">
        <v>3188.3</v>
      </c>
      <c r="F57" s="263">
        <v>4674.9780000000001</v>
      </c>
      <c r="G57" s="13">
        <v>391.03100000000001</v>
      </c>
      <c r="H57" s="13">
        <v>3892.7629999999999</v>
      </c>
      <c r="I57" s="13">
        <v>122.095</v>
      </c>
      <c r="J57" s="13">
        <v>83.268000000000001</v>
      </c>
    </row>
    <row r="58" spans="1:11" ht="101.25" x14ac:dyDescent="0.2">
      <c r="A58" s="18" t="s">
        <v>886</v>
      </c>
      <c r="B58" s="16" t="s">
        <v>888</v>
      </c>
      <c r="C58" s="16" t="s">
        <v>23</v>
      </c>
      <c r="D58" s="16" t="s">
        <v>24</v>
      </c>
      <c r="E58" s="17">
        <v>3188.3</v>
      </c>
      <c r="F58" s="264">
        <v>4674.9780000000001</v>
      </c>
      <c r="G58" s="17">
        <v>391.03100000000001</v>
      </c>
      <c r="H58" s="17">
        <v>3892.7629999999999</v>
      </c>
      <c r="I58" s="17">
        <v>122.095</v>
      </c>
      <c r="J58" s="17">
        <v>83.268000000000001</v>
      </c>
    </row>
    <row r="59" spans="1:11" ht="67.5" x14ac:dyDescent="0.2">
      <c r="A59" s="11" t="s">
        <v>415</v>
      </c>
      <c r="B59" s="12" t="s">
        <v>700</v>
      </c>
      <c r="C59" s="12"/>
      <c r="D59" s="12"/>
      <c r="E59" s="13">
        <v>-470</v>
      </c>
      <c r="F59" s="263">
        <v>-542.89200000000005</v>
      </c>
      <c r="G59" s="13">
        <v>-27.521999999999998</v>
      </c>
      <c r="H59" s="13">
        <v>-459.63400000000001</v>
      </c>
      <c r="I59" s="13">
        <v>97.795000000000002</v>
      </c>
      <c r="J59" s="13">
        <v>84.664000000000001</v>
      </c>
    </row>
    <row r="60" spans="1:11" ht="101.25" x14ac:dyDescent="0.2">
      <c r="A60" s="14" t="s">
        <v>889</v>
      </c>
      <c r="B60" s="12" t="s">
        <v>890</v>
      </c>
      <c r="C60" s="12"/>
      <c r="D60" s="12"/>
      <c r="E60" s="13">
        <v>-470</v>
      </c>
      <c r="F60" s="263">
        <v>-542.89200000000005</v>
      </c>
      <c r="G60" s="13">
        <v>-27.521999999999998</v>
      </c>
      <c r="H60" s="13">
        <v>-459.63400000000001</v>
      </c>
      <c r="I60" s="13">
        <v>97.795000000000002</v>
      </c>
      <c r="J60" s="13">
        <v>84.664000000000001</v>
      </c>
    </row>
    <row r="61" spans="1:11" ht="101.25" x14ac:dyDescent="0.2">
      <c r="A61" s="18" t="s">
        <v>889</v>
      </c>
      <c r="B61" s="16" t="s">
        <v>891</v>
      </c>
      <c r="C61" s="16" t="s">
        <v>23</v>
      </c>
      <c r="D61" s="16" t="s">
        <v>24</v>
      </c>
      <c r="E61" s="17">
        <v>-470</v>
      </c>
      <c r="F61" s="264">
        <v>-542.89200000000005</v>
      </c>
      <c r="G61" s="17">
        <v>-27.521999999999998</v>
      </c>
      <c r="H61" s="17">
        <v>-459.63400000000001</v>
      </c>
      <c r="I61" s="17">
        <v>97.795000000000002</v>
      </c>
      <c r="J61" s="17">
        <v>84.664000000000001</v>
      </c>
    </row>
    <row r="62" spans="1:11" ht="20.25" customHeight="1" x14ac:dyDescent="0.2">
      <c r="A62" s="161" t="s">
        <v>71</v>
      </c>
      <c r="B62" s="162" t="s">
        <v>72</v>
      </c>
      <c r="C62" s="162"/>
      <c r="D62" s="162"/>
      <c r="E62" s="66">
        <v>59514.8</v>
      </c>
      <c r="F62" s="263">
        <v>63428.3</v>
      </c>
      <c r="G62" s="163">
        <v>10554.799000000001</v>
      </c>
      <c r="H62" s="66">
        <v>60467.260999999999</v>
      </c>
      <c r="I62" s="66">
        <v>101.6</v>
      </c>
      <c r="J62" s="66">
        <v>95.331999999999994</v>
      </c>
      <c r="K62" s="67"/>
    </row>
    <row r="63" spans="1:11" ht="22.5" x14ac:dyDescent="0.2">
      <c r="A63" s="164" t="s">
        <v>521</v>
      </c>
      <c r="B63" s="165" t="s">
        <v>522</v>
      </c>
      <c r="C63" s="165"/>
      <c r="D63" s="165"/>
      <c r="E63" s="106">
        <v>26234.7</v>
      </c>
      <c r="F63" s="263">
        <v>29776</v>
      </c>
      <c r="G63" s="163">
        <v>3206.5819999999999</v>
      </c>
      <c r="H63" s="106">
        <v>27140.531999999999</v>
      </c>
      <c r="I63" s="106">
        <v>103.453</v>
      </c>
      <c r="J63" s="106">
        <v>91.149000000000001</v>
      </c>
      <c r="K63" s="67"/>
    </row>
    <row r="64" spans="1:11" ht="33.75" x14ac:dyDescent="0.2">
      <c r="A64" s="11" t="s">
        <v>419</v>
      </c>
      <c r="B64" s="12" t="s">
        <v>523</v>
      </c>
      <c r="C64" s="12"/>
      <c r="D64" s="12"/>
      <c r="E64" s="13">
        <v>14297.9</v>
      </c>
      <c r="F64" s="263">
        <v>16376.8</v>
      </c>
      <c r="G64" s="13">
        <v>2174.5590000000002</v>
      </c>
      <c r="H64" s="13">
        <v>16249.356</v>
      </c>
      <c r="I64" s="13">
        <v>113.649</v>
      </c>
      <c r="J64" s="13">
        <v>99.221999999999994</v>
      </c>
    </row>
    <row r="65" spans="1:10" ht="33.75" x14ac:dyDescent="0.2">
      <c r="A65" s="11" t="s">
        <v>419</v>
      </c>
      <c r="B65" s="12" t="s">
        <v>524</v>
      </c>
      <c r="C65" s="12"/>
      <c r="D65" s="12"/>
      <c r="E65" s="13">
        <v>14297.9</v>
      </c>
      <c r="F65" s="263">
        <v>16376.8</v>
      </c>
      <c r="G65" s="13">
        <v>2174.5590000000002</v>
      </c>
      <c r="H65" s="13">
        <v>16249.221</v>
      </c>
      <c r="I65" s="13">
        <v>113.648</v>
      </c>
      <c r="J65" s="13">
        <v>99.221000000000004</v>
      </c>
    </row>
    <row r="66" spans="1:10" ht="22.5" x14ac:dyDescent="0.2">
      <c r="A66" s="15" t="s">
        <v>419</v>
      </c>
      <c r="B66" s="16" t="s">
        <v>701</v>
      </c>
      <c r="C66" s="16" t="s">
        <v>23</v>
      </c>
      <c r="D66" s="16" t="s">
        <v>24</v>
      </c>
      <c r="E66" s="17">
        <v>14297.9</v>
      </c>
      <c r="F66" s="264">
        <v>16376.8</v>
      </c>
      <c r="G66" s="17"/>
      <c r="H66" s="17"/>
      <c r="I66" s="17"/>
      <c r="J66" s="17"/>
    </row>
    <row r="67" spans="1:10" ht="56.25" x14ac:dyDescent="0.2">
      <c r="A67" s="11" t="s">
        <v>702</v>
      </c>
      <c r="B67" s="12" t="s">
        <v>525</v>
      </c>
      <c r="C67" s="12"/>
      <c r="D67" s="12"/>
      <c r="E67" s="13"/>
      <c r="F67" s="263"/>
      <c r="G67" s="13">
        <v>2157.6660000000002</v>
      </c>
      <c r="H67" s="13">
        <v>15951.581</v>
      </c>
      <c r="I67" s="13"/>
      <c r="J67" s="13"/>
    </row>
    <row r="68" spans="1:10" ht="56.25" x14ac:dyDescent="0.2">
      <c r="A68" s="15" t="s">
        <v>702</v>
      </c>
      <c r="B68" s="16" t="s">
        <v>526</v>
      </c>
      <c r="C68" s="16" t="s">
        <v>23</v>
      </c>
      <c r="D68" s="16" t="s">
        <v>24</v>
      </c>
      <c r="E68" s="17"/>
      <c r="F68" s="264"/>
      <c r="G68" s="17">
        <v>2157.6660000000002</v>
      </c>
      <c r="H68" s="17">
        <v>15951.581</v>
      </c>
      <c r="I68" s="17"/>
      <c r="J68" s="17"/>
    </row>
    <row r="69" spans="1:10" ht="33.75" x14ac:dyDescent="0.2">
      <c r="A69" s="11" t="s">
        <v>421</v>
      </c>
      <c r="B69" s="12" t="s">
        <v>527</v>
      </c>
      <c r="C69" s="12"/>
      <c r="D69" s="12"/>
      <c r="E69" s="13"/>
      <c r="F69" s="263"/>
      <c r="G69" s="13">
        <v>5.6719999999999997</v>
      </c>
      <c r="H69" s="13">
        <v>293.62099999999998</v>
      </c>
      <c r="I69" s="13"/>
      <c r="J69" s="13"/>
    </row>
    <row r="70" spans="1:10" ht="33.75" x14ac:dyDescent="0.2">
      <c r="A70" s="15" t="s">
        <v>421</v>
      </c>
      <c r="B70" s="16" t="s">
        <v>528</v>
      </c>
      <c r="C70" s="16" t="s">
        <v>23</v>
      </c>
      <c r="D70" s="16" t="s">
        <v>24</v>
      </c>
      <c r="E70" s="17"/>
      <c r="F70" s="264"/>
      <c r="G70" s="17">
        <v>5.6719999999999997</v>
      </c>
      <c r="H70" s="17">
        <v>293.62099999999998</v>
      </c>
      <c r="I70" s="17"/>
      <c r="J70" s="17"/>
    </row>
    <row r="71" spans="1:10" ht="56.25" x14ac:dyDescent="0.2">
      <c r="A71" s="11" t="s">
        <v>422</v>
      </c>
      <c r="B71" s="12" t="s">
        <v>529</v>
      </c>
      <c r="C71" s="12"/>
      <c r="D71" s="12"/>
      <c r="E71" s="13"/>
      <c r="F71" s="263"/>
      <c r="G71" s="13"/>
      <c r="H71" s="13">
        <v>4.3490000000000002</v>
      </c>
      <c r="I71" s="13"/>
      <c r="J71" s="13"/>
    </row>
    <row r="72" spans="1:10" ht="56.25" x14ac:dyDescent="0.2">
      <c r="A72" s="15" t="s">
        <v>422</v>
      </c>
      <c r="B72" s="16" t="s">
        <v>530</v>
      </c>
      <c r="C72" s="16" t="s">
        <v>23</v>
      </c>
      <c r="D72" s="16" t="s">
        <v>24</v>
      </c>
      <c r="E72" s="17"/>
      <c r="F72" s="264"/>
      <c r="G72" s="17"/>
      <c r="H72" s="17">
        <v>4.3490000000000002</v>
      </c>
      <c r="I72" s="17"/>
      <c r="J72" s="17"/>
    </row>
    <row r="73" spans="1:10" ht="33.75" x14ac:dyDescent="0.2">
      <c r="A73" s="11" t="s">
        <v>423</v>
      </c>
      <c r="B73" s="12" t="s">
        <v>531</v>
      </c>
      <c r="C73" s="12"/>
      <c r="D73" s="12"/>
      <c r="E73" s="13"/>
      <c r="F73" s="263"/>
      <c r="G73" s="13">
        <v>11.22</v>
      </c>
      <c r="H73" s="13">
        <v>-0.33</v>
      </c>
      <c r="I73" s="13"/>
      <c r="J73" s="13"/>
    </row>
    <row r="74" spans="1:10" ht="33.75" x14ac:dyDescent="0.2">
      <c r="A74" s="15" t="s">
        <v>423</v>
      </c>
      <c r="B74" s="16" t="s">
        <v>845</v>
      </c>
      <c r="C74" s="16" t="s">
        <v>23</v>
      </c>
      <c r="D74" s="16" t="s">
        <v>24</v>
      </c>
      <c r="E74" s="17"/>
      <c r="F74" s="264"/>
      <c r="G74" s="17">
        <v>11.22</v>
      </c>
      <c r="H74" s="17">
        <v>-0.33</v>
      </c>
      <c r="I74" s="17"/>
      <c r="J74" s="17"/>
    </row>
    <row r="75" spans="1:10" ht="45" x14ac:dyDescent="0.2">
      <c r="A75" s="11" t="s">
        <v>427</v>
      </c>
      <c r="B75" s="12" t="s">
        <v>892</v>
      </c>
      <c r="C75" s="12"/>
      <c r="D75" s="12"/>
      <c r="E75" s="13"/>
      <c r="F75" s="263"/>
      <c r="G75" s="13"/>
      <c r="H75" s="13">
        <v>0.13500000000000001</v>
      </c>
      <c r="I75" s="13"/>
      <c r="J75" s="13"/>
    </row>
    <row r="76" spans="1:10" ht="67.5" x14ac:dyDescent="0.2">
      <c r="A76" s="14" t="s">
        <v>426</v>
      </c>
      <c r="B76" s="12" t="s">
        <v>893</v>
      </c>
      <c r="C76" s="12"/>
      <c r="D76" s="12"/>
      <c r="E76" s="13"/>
      <c r="F76" s="263"/>
      <c r="G76" s="13"/>
      <c r="H76" s="13">
        <v>0.13500000000000001</v>
      </c>
      <c r="I76" s="13"/>
      <c r="J76" s="13"/>
    </row>
    <row r="77" spans="1:10" ht="67.5" x14ac:dyDescent="0.2">
      <c r="A77" s="18" t="s">
        <v>426</v>
      </c>
      <c r="B77" s="16" t="s">
        <v>894</v>
      </c>
      <c r="C77" s="16" t="s">
        <v>23</v>
      </c>
      <c r="D77" s="16" t="s">
        <v>24</v>
      </c>
      <c r="E77" s="17"/>
      <c r="F77" s="264"/>
      <c r="G77" s="17"/>
      <c r="H77" s="17">
        <v>0.13500000000000001</v>
      </c>
      <c r="I77" s="17"/>
      <c r="J77" s="17"/>
    </row>
    <row r="78" spans="1:10" ht="33.75" x14ac:dyDescent="0.2">
      <c r="A78" s="11" t="s">
        <v>428</v>
      </c>
      <c r="B78" s="12" t="s">
        <v>532</v>
      </c>
      <c r="C78" s="12"/>
      <c r="D78" s="12"/>
      <c r="E78" s="13">
        <v>11936.8</v>
      </c>
      <c r="F78" s="263">
        <v>13399.2</v>
      </c>
      <c r="G78" s="13">
        <v>1031.3040000000001</v>
      </c>
      <c r="H78" s="13">
        <v>10894.906999999999</v>
      </c>
      <c r="I78" s="13">
        <v>91.272000000000006</v>
      </c>
      <c r="J78" s="13">
        <v>81.31</v>
      </c>
    </row>
    <row r="79" spans="1:10" ht="56.25" x14ac:dyDescent="0.2">
      <c r="A79" s="11" t="s">
        <v>429</v>
      </c>
      <c r="B79" s="12" t="s">
        <v>533</v>
      </c>
      <c r="C79" s="12"/>
      <c r="D79" s="12"/>
      <c r="E79" s="13">
        <v>11936.8</v>
      </c>
      <c r="F79" s="263">
        <v>13399.2</v>
      </c>
      <c r="G79" s="13">
        <v>1031.3040000000001</v>
      </c>
      <c r="H79" s="13">
        <v>10894.906999999999</v>
      </c>
      <c r="I79" s="13">
        <v>91.272000000000006</v>
      </c>
      <c r="J79" s="13">
        <v>81.31</v>
      </c>
    </row>
    <row r="80" spans="1:10" ht="56.25" x14ac:dyDescent="0.2">
      <c r="A80" s="15" t="s">
        <v>429</v>
      </c>
      <c r="B80" s="16" t="s">
        <v>703</v>
      </c>
      <c r="C80" s="16" t="s">
        <v>23</v>
      </c>
      <c r="D80" s="16" t="s">
        <v>24</v>
      </c>
      <c r="E80" s="17">
        <v>11936.8</v>
      </c>
      <c r="F80" s="264">
        <v>13399.2</v>
      </c>
      <c r="G80" s="17"/>
      <c r="H80" s="17"/>
      <c r="I80" s="17"/>
      <c r="J80" s="17"/>
    </row>
    <row r="81" spans="1:11" ht="90" x14ac:dyDescent="0.2">
      <c r="A81" s="14" t="s">
        <v>895</v>
      </c>
      <c r="B81" s="12" t="s">
        <v>534</v>
      </c>
      <c r="C81" s="12"/>
      <c r="D81" s="12"/>
      <c r="E81" s="13"/>
      <c r="F81" s="263"/>
      <c r="G81" s="13">
        <v>1026.5050000000001</v>
      </c>
      <c r="H81" s="13">
        <v>10156.352999999999</v>
      </c>
      <c r="I81" s="13"/>
      <c r="J81" s="13"/>
    </row>
    <row r="82" spans="1:11" ht="78.75" x14ac:dyDescent="0.2">
      <c r="A82" s="18" t="s">
        <v>895</v>
      </c>
      <c r="B82" s="16" t="s">
        <v>535</v>
      </c>
      <c r="C82" s="16" t="s">
        <v>23</v>
      </c>
      <c r="D82" s="16" t="s">
        <v>24</v>
      </c>
      <c r="E82" s="17"/>
      <c r="F82" s="264"/>
      <c r="G82" s="17">
        <v>1026.5050000000001</v>
      </c>
      <c r="H82" s="17">
        <v>10156.352999999999</v>
      </c>
      <c r="I82" s="17"/>
      <c r="J82" s="17"/>
    </row>
    <row r="83" spans="1:11" ht="67.5" x14ac:dyDescent="0.2">
      <c r="A83" s="11" t="s">
        <v>896</v>
      </c>
      <c r="B83" s="12" t="s">
        <v>536</v>
      </c>
      <c r="C83" s="12"/>
      <c r="D83" s="12"/>
      <c r="E83" s="13"/>
      <c r="F83" s="263"/>
      <c r="G83" s="13">
        <v>4.7990000000000004</v>
      </c>
      <c r="H83" s="13">
        <v>706.89200000000005</v>
      </c>
      <c r="I83" s="13"/>
      <c r="J83" s="13"/>
    </row>
    <row r="84" spans="1:11" ht="67.5" x14ac:dyDescent="0.2">
      <c r="A84" s="15" t="s">
        <v>896</v>
      </c>
      <c r="B84" s="16" t="s">
        <v>537</v>
      </c>
      <c r="C84" s="16" t="s">
        <v>23</v>
      </c>
      <c r="D84" s="16" t="s">
        <v>24</v>
      </c>
      <c r="E84" s="17"/>
      <c r="F84" s="264"/>
      <c r="G84" s="17">
        <v>4.7990000000000004</v>
      </c>
      <c r="H84" s="17">
        <v>706.89200000000005</v>
      </c>
      <c r="I84" s="17"/>
      <c r="J84" s="17"/>
    </row>
    <row r="85" spans="1:11" ht="90" x14ac:dyDescent="0.2">
      <c r="A85" s="14" t="s">
        <v>897</v>
      </c>
      <c r="B85" s="12" t="s">
        <v>538</v>
      </c>
      <c r="C85" s="12"/>
      <c r="D85" s="12"/>
      <c r="E85" s="13"/>
      <c r="F85" s="263"/>
      <c r="G85" s="13"/>
      <c r="H85" s="13">
        <v>43.997</v>
      </c>
      <c r="I85" s="13"/>
      <c r="J85" s="13"/>
    </row>
    <row r="86" spans="1:11" ht="78.75" x14ac:dyDescent="0.2">
      <c r="A86" s="18" t="s">
        <v>897</v>
      </c>
      <c r="B86" s="16" t="s">
        <v>539</v>
      </c>
      <c r="C86" s="16" t="s">
        <v>23</v>
      </c>
      <c r="D86" s="16" t="s">
        <v>24</v>
      </c>
      <c r="E86" s="17"/>
      <c r="F86" s="264"/>
      <c r="G86" s="17"/>
      <c r="H86" s="17">
        <v>43.997</v>
      </c>
      <c r="I86" s="17"/>
      <c r="J86" s="17"/>
    </row>
    <row r="87" spans="1:11" ht="67.5" x14ac:dyDescent="0.2">
      <c r="A87" s="11" t="s">
        <v>898</v>
      </c>
      <c r="B87" s="12" t="s">
        <v>541</v>
      </c>
      <c r="C87" s="12"/>
      <c r="D87" s="12"/>
      <c r="E87" s="13"/>
      <c r="F87" s="263"/>
      <c r="G87" s="13"/>
      <c r="H87" s="13">
        <v>-12.336</v>
      </c>
      <c r="I87" s="13"/>
      <c r="J87" s="13"/>
    </row>
    <row r="88" spans="1:11" ht="56.25" x14ac:dyDescent="0.2">
      <c r="A88" s="15" t="s">
        <v>898</v>
      </c>
      <c r="B88" s="16" t="s">
        <v>542</v>
      </c>
      <c r="C88" s="16" t="s">
        <v>23</v>
      </c>
      <c r="D88" s="16" t="s">
        <v>24</v>
      </c>
      <c r="E88" s="17"/>
      <c r="F88" s="264"/>
      <c r="G88" s="17"/>
      <c r="H88" s="17">
        <v>-12.336</v>
      </c>
      <c r="I88" s="17"/>
      <c r="J88" s="17"/>
    </row>
    <row r="89" spans="1:11" ht="33.75" x14ac:dyDescent="0.2">
      <c r="A89" s="11" t="s">
        <v>435</v>
      </c>
      <c r="B89" s="12" t="s">
        <v>846</v>
      </c>
      <c r="C89" s="12"/>
      <c r="D89" s="12"/>
      <c r="E89" s="13"/>
      <c r="F89" s="263"/>
      <c r="G89" s="13">
        <v>0.72</v>
      </c>
      <c r="H89" s="13">
        <v>-3.73</v>
      </c>
      <c r="I89" s="13"/>
      <c r="J89" s="13"/>
    </row>
    <row r="90" spans="1:11" ht="67.5" x14ac:dyDescent="0.2">
      <c r="A90" s="11" t="s">
        <v>899</v>
      </c>
      <c r="B90" s="12" t="s">
        <v>543</v>
      </c>
      <c r="C90" s="12"/>
      <c r="D90" s="12"/>
      <c r="E90" s="13"/>
      <c r="F90" s="263"/>
      <c r="G90" s="13"/>
      <c r="H90" s="13">
        <v>-14.603999999999999</v>
      </c>
      <c r="I90" s="13"/>
      <c r="J90" s="13"/>
    </row>
    <row r="91" spans="1:11" ht="56.25" x14ac:dyDescent="0.2">
      <c r="A91" s="15" t="s">
        <v>899</v>
      </c>
      <c r="B91" s="16" t="s">
        <v>544</v>
      </c>
      <c r="C91" s="16" t="s">
        <v>23</v>
      </c>
      <c r="D91" s="16" t="s">
        <v>24</v>
      </c>
      <c r="E91" s="17"/>
      <c r="F91" s="264"/>
      <c r="G91" s="17"/>
      <c r="H91" s="17">
        <v>-14.603999999999999</v>
      </c>
      <c r="I91" s="17"/>
      <c r="J91" s="17"/>
    </row>
    <row r="92" spans="1:11" ht="45" x14ac:dyDescent="0.2">
      <c r="A92" s="11" t="s">
        <v>900</v>
      </c>
      <c r="B92" s="12" t="s">
        <v>545</v>
      </c>
      <c r="C92" s="12"/>
      <c r="D92" s="12"/>
      <c r="E92" s="13"/>
      <c r="F92" s="263"/>
      <c r="G92" s="13">
        <v>0.72</v>
      </c>
      <c r="H92" s="13">
        <v>10.874000000000001</v>
      </c>
      <c r="I92" s="13"/>
      <c r="J92" s="13"/>
    </row>
    <row r="93" spans="1:11" ht="45" x14ac:dyDescent="0.2">
      <c r="A93" s="15" t="s">
        <v>900</v>
      </c>
      <c r="B93" s="16" t="s">
        <v>546</v>
      </c>
      <c r="C93" s="16" t="s">
        <v>23</v>
      </c>
      <c r="D93" s="16" t="s">
        <v>24</v>
      </c>
      <c r="E93" s="17"/>
      <c r="F93" s="264"/>
      <c r="G93" s="17">
        <v>0.72</v>
      </c>
      <c r="H93" s="17">
        <v>10.874000000000001</v>
      </c>
      <c r="I93" s="17"/>
      <c r="J93" s="17"/>
    </row>
    <row r="94" spans="1:11" ht="29.25" customHeight="1" x14ac:dyDescent="0.2">
      <c r="A94" s="164" t="s">
        <v>73</v>
      </c>
      <c r="B94" s="165" t="s">
        <v>74</v>
      </c>
      <c r="C94" s="165"/>
      <c r="D94" s="165"/>
      <c r="E94" s="106">
        <v>32934.199999999997</v>
      </c>
      <c r="F94" s="263">
        <v>31840</v>
      </c>
      <c r="G94" s="163">
        <v>7326.1719999999996</v>
      </c>
      <c r="H94" s="106">
        <v>31605.886999999999</v>
      </c>
      <c r="I94" s="106">
        <v>95.966999999999999</v>
      </c>
      <c r="J94" s="106">
        <v>99.265000000000001</v>
      </c>
      <c r="K94" s="67"/>
    </row>
    <row r="95" spans="1:11" ht="22.5" x14ac:dyDescent="0.2">
      <c r="A95" s="11" t="s">
        <v>73</v>
      </c>
      <c r="B95" s="12" t="s">
        <v>75</v>
      </c>
      <c r="C95" s="12"/>
      <c r="D95" s="12"/>
      <c r="E95" s="13">
        <v>32934.199999999997</v>
      </c>
      <c r="F95" s="263">
        <v>31840</v>
      </c>
      <c r="G95" s="13">
        <v>7326.1719999999996</v>
      </c>
      <c r="H95" s="13">
        <v>31604.903999999999</v>
      </c>
      <c r="I95" s="13">
        <v>95.963999999999999</v>
      </c>
      <c r="J95" s="13">
        <v>99.262</v>
      </c>
    </row>
    <row r="96" spans="1:11" ht="22.5" x14ac:dyDescent="0.2">
      <c r="A96" s="15" t="s">
        <v>73</v>
      </c>
      <c r="B96" s="16" t="s">
        <v>901</v>
      </c>
      <c r="C96" s="16" t="s">
        <v>23</v>
      </c>
      <c r="D96" s="16" t="s">
        <v>24</v>
      </c>
      <c r="E96" s="17">
        <v>32934.199999999997</v>
      </c>
      <c r="F96" s="264">
        <v>31840</v>
      </c>
      <c r="G96" s="17"/>
      <c r="H96" s="17"/>
      <c r="I96" s="17"/>
      <c r="J96" s="17"/>
    </row>
    <row r="97" spans="1:11" ht="45" x14ac:dyDescent="0.2">
      <c r="A97" s="11" t="s">
        <v>76</v>
      </c>
      <c r="B97" s="12" t="s">
        <v>77</v>
      </c>
      <c r="C97" s="12"/>
      <c r="D97" s="12"/>
      <c r="E97" s="13"/>
      <c r="F97" s="263"/>
      <c r="G97" s="13">
        <v>7268.6850000000004</v>
      </c>
      <c r="H97" s="13">
        <v>31133</v>
      </c>
      <c r="I97" s="13"/>
      <c r="J97" s="13"/>
    </row>
    <row r="98" spans="1:11" ht="45" x14ac:dyDescent="0.2">
      <c r="A98" s="15" t="s">
        <v>76</v>
      </c>
      <c r="B98" s="16" t="s">
        <v>78</v>
      </c>
      <c r="C98" s="16" t="s">
        <v>23</v>
      </c>
      <c r="D98" s="16" t="s">
        <v>24</v>
      </c>
      <c r="E98" s="17"/>
      <c r="F98" s="264"/>
      <c r="G98" s="17">
        <v>7268.6850000000004</v>
      </c>
      <c r="H98" s="17">
        <v>31133</v>
      </c>
      <c r="I98" s="17"/>
      <c r="J98" s="17"/>
    </row>
    <row r="99" spans="1:11" ht="33.75" x14ac:dyDescent="0.2">
      <c r="A99" s="11" t="s">
        <v>79</v>
      </c>
      <c r="B99" s="12" t="s">
        <v>80</v>
      </c>
      <c r="C99" s="12"/>
      <c r="D99" s="12"/>
      <c r="E99" s="13"/>
      <c r="F99" s="263"/>
      <c r="G99" s="13">
        <v>24.687000000000001</v>
      </c>
      <c r="H99" s="13">
        <v>374.99799999999999</v>
      </c>
      <c r="I99" s="13"/>
      <c r="J99" s="13"/>
    </row>
    <row r="100" spans="1:11" ht="22.5" x14ac:dyDescent="0.2">
      <c r="A100" s="15" t="s">
        <v>79</v>
      </c>
      <c r="B100" s="16" t="s">
        <v>81</v>
      </c>
      <c r="C100" s="16" t="s">
        <v>23</v>
      </c>
      <c r="D100" s="16" t="s">
        <v>24</v>
      </c>
      <c r="E100" s="17"/>
      <c r="F100" s="264"/>
      <c r="G100" s="17">
        <v>24.687000000000001</v>
      </c>
      <c r="H100" s="17">
        <v>374.99799999999999</v>
      </c>
      <c r="I100" s="17"/>
      <c r="J100" s="17"/>
    </row>
    <row r="101" spans="1:11" ht="45" x14ac:dyDescent="0.2">
      <c r="A101" s="11" t="s">
        <v>82</v>
      </c>
      <c r="B101" s="12" t="s">
        <v>83</v>
      </c>
      <c r="C101" s="12"/>
      <c r="D101" s="12"/>
      <c r="E101" s="13"/>
      <c r="F101" s="263"/>
      <c r="G101" s="13">
        <v>1.371</v>
      </c>
      <c r="H101" s="13">
        <v>67.347999999999999</v>
      </c>
      <c r="I101" s="13"/>
      <c r="J101" s="13"/>
    </row>
    <row r="102" spans="1:11" ht="45" x14ac:dyDescent="0.2">
      <c r="A102" s="15" t="s">
        <v>82</v>
      </c>
      <c r="B102" s="16" t="s">
        <v>84</v>
      </c>
      <c r="C102" s="16" t="s">
        <v>23</v>
      </c>
      <c r="D102" s="16" t="s">
        <v>24</v>
      </c>
      <c r="E102" s="17"/>
      <c r="F102" s="264"/>
      <c r="G102" s="17">
        <v>1.371</v>
      </c>
      <c r="H102" s="17">
        <v>67.347999999999999</v>
      </c>
      <c r="I102" s="17"/>
      <c r="J102" s="17"/>
    </row>
    <row r="103" spans="1:11" ht="22.5" x14ac:dyDescent="0.2">
      <c r="A103" s="11" t="s">
        <v>85</v>
      </c>
      <c r="B103" s="12" t="s">
        <v>86</v>
      </c>
      <c r="C103" s="12"/>
      <c r="D103" s="12"/>
      <c r="E103" s="13"/>
      <c r="F103" s="263"/>
      <c r="G103" s="13">
        <v>31.428999999999998</v>
      </c>
      <c r="H103" s="13">
        <v>29.559000000000001</v>
      </c>
      <c r="I103" s="13"/>
      <c r="J103" s="13"/>
    </row>
    <row r="104" spans="1:11" ht="22.5" x14ac:dyDescent="0.2">
      <c r="A104" s="15" t="s">
        <v>85</v>
      </c>
      <c r="B104" s="16" t="s">
        <v>87</v>
      </c>
      <c r="C104" s="16" t="s">
        <v>23</v>
      </c>
      <c r="D104" s="16" t="s">
        <v>24</v>
      </c>
      <c r="E104" s="17"/>
      <c r="F104" s="264"/>
      <c r="G104" s="17">
        <v>31.428999999999998</v>
      </c>
      <c r="H104" s="17">
        <v>29.559000000000001</v>
      </c>
      <c r="I104" s="17"/>
      <c r="J104" s="17"/>
    </row>
    <row r="105" spans="1:11" ht="33.75" x14ac:dyDescent="0.2">
      <c r="A105" s="11" t="s">
        <v>88</v>
      </c>
      <c r="B105" s="12" t="s">
        <v>89</v>
      </c>
      <c r="C105" s="12"/>
      <c r="D105" s="12"/>
      <c r="E105" s="13"/>
      <c r="F105" s="263"/>
      <c r="G105" s="13"/>
      <c r="H105" s="13">
        <v>0.98199999999999998</v>
      </c>
      <c r="I105" s="13"/>
      <c r="J105" s="13"/>
    </row>
    <row r="106" spans="1:11" ht="45" x14ac:dyDescent="0.2">
      <c r="A106" s="11" t="s">
        <v>93</v>
      </c>
      <c r="B106" s="12" t="s">
        <v>94</v>
      </c>
      <c r="C106" s="12"/>
      <c r="D106" s="12"/>
      <c r="E106" s="13"/>
      <c r="F106" s="263"/>
      <c r="G106" s="13"/>
      <c r="H106" s="13">
        <v>0.98199999999999998</v>
      </c>
      <c r="I106" s="13"/>
      <c r="J106" s="13"/>
    </row>
    <row r="107" spans="1:11" ht="33.75" x14ac:dyDescent="0.2">
      <c r="A107" s="15" t="s">
        <v>93</v>
      </c>
      <c r="B107" s="16" t="s">
        <v>95</v>
      </c>
      <c r="C107" s="16" t="s">
        <v>23</v>
      </c>
      <c r="D107" s="16" t="s">
        <v>24</v>
      </c>
      <c r="E107" s="17"/>
      <c r="F107" s="264"/>
      <c r="G107" s="17"/>
      <c r="H107" s="17">
        <v>0.98199999999999998</v>
      </c>
      <c r="I107" s="17"/>
      <c r="J107" s="17"/>
    </row>
    <row r="108" spans="1:11" ht="29.25" customHeight="1" x14ac:dyDescent="0.2">
      <c r="A108" s="164" t="s">
        <v>96</v>
      </c>
      <c r="B108" s="165" t="s">
        <v>97</v>
      </c>
      <c r="C108" s="165"/>
      <c r="D108" s="165"/>
      <c r="E108" s="106">
        <v>282.89999999999998</v>
      </c>
      <c r="F108" s="263">
        <v>1712.3</v>
      </c>
      <c r="G108" s="163">
        <v>22.045000000000002</v>
      </c>
      <c r="H108" s="106">
        <v>1658.3820000000001</v>
      </c>
      <c r="I108" s="106">
        <v>586.20799999999997</v>
      </c>
      <c r="J108" s="106">
        <v>96.850999999999999</v>
      </c>
      <c r="K108" s="67"/>
    </row>
    <row r="109" spans="1:11" x14ac:dyDescent="0.2">
      <c r="A109" s="11" t="s">
        <v>96</v>
      </c>
      <c r="B109" s="12" t="s">
        <v>98</v>
      </c>
      <c r="C109" s="12"/>
      <c r="D109" s="12"/>
      <c r="E109" s="13">
        <v>282.89999999999998</v>
      </c>
      <c r="F109" s="263">
        <v>1712.3</v>
      </c>
      <c r="G109" s="13">
        <v>22.045000000000002</v>
      </c>
      <c r="H109" s="13">
        <v>1658.3820000000001</v>
      </c>
      <c r="I109" s="13">
        <v>586.20799999999997</v>
      </c>
      <c r="J109" s="13">
        <v>96.850999999999999</v>
      </c>
    </row>
    <row r="110" spans="1:11" x14ac:dyDescent="0.2">
      <c r="A110" s="15" t="s">
        <v>96</v>
      </c>
      <c r="B110" s="16" t="s">
        <v>99</v>
      </c>
      <c r="C110" s="16" t="s">
        <v>23</v>
      </c>
      <c r="D110" s="16" t="s">
        <v>24</v>
      </c>
      <c r="E110" s="17">
        <v>282.89999999999998</v>
      </c>
      <c r="F110" s="264">
        <v>1712.3</v>
      </c>
      <c r="G110" s="17"/>
      <c r="H110" s="17"/>
      <c r="I110" s="17"/>
      <c r="J110" s="17"/>
    </row>
    <row r="111" spans="1:11" ht="45" x14ac:dyDescent="0.2">
      <c r="A111" s="11" t="s">
        <v>100</v>
      </c>
      <c r="B111" s="12" t="s">
        <v>101</v>
      </c>
      <c r="C111" s="12"/>
      <c r="D111" s="12"/>
      <c r="E111" s="13"/>
      <c r="F111" s="263"/>
      <c r="G111" s="13">
        <v>18.831</v>
      </c>
      <c r="H111" s="13">
        <v>1648.162</v>
      </c>
      <c r="I111" s="13"/>
      <c r="J111" s="13"/>
    </row>
    <row r="112" spans="1:11" ht="45" x14ac:dyDescent="0.2">
      <c r="A112" s="15" t="s">
        <v>100</v>
      </c>
      <c r="B112" s="16" t="s">
        <v>102</v>
      </c>
      <c r="C112" s="16" t="s">
        <v>23</v>
      </c>
      <c r="D112" s="16" t="s">
        <v>24</v>
      </c>
      <c r="E112" s="17"/>
      <c r="F112" s="264"/>
      <c r="G112" s="17">
        <v>18.831</v>
      </c>
      <c r="H112" s="17">
        <v>1648.162</v>
      </c>
      <c r="I112" s="17"/>
      <c r="J112" s="17"/>
    </row>
    <row r="113" spans="1:11" ht="22.5" x14ac:dyDescent="0.2">
      <c r="A113" s="11" t="s">
        <v>103</v>
      </c>
      <c r="B113" s="12" t="s">
        <v>104</v>
      </c>
      <c r="C113" s="12"/>
      <c r="D113" s="12"/>
      <c r="E113" s="13"/>
      <c r="F113" s="263"/>
      <c r="G113" s="13">
        <v>3.214</v>
      </c>
      <c r="H113" s="13">
        <v>9.6329999999999991</v>
      </c>
      <c r="I113" s="13"/>
      <c r="J113" s="13"/>
    </row>
    <row r="114" spans="1:11" ht="22.5" x14ac:dyDescent="0.2">
      <c r="A114" s="15" t="s">
        <v>103</v>
      </c>
      <c r="B114" s="16" t="s">
        <v>105</v>
      </c>
      <c r="C114" s="16" t="s">
        <v>23</v>
      </c>
      <c r="D114" s="16" t="s">
        <v>24</v>
      </c>
      <c r="E114" s="17"/>
      <c r="F114" s="264"/>
      <c r="G114" s="17">
        <v>3.214</v>
      </c>
      <c r="H114" s="17">
        <v>9.6329999999999991</v>
      </c>
      <c r="I114" s="17"/>
      <c r="J114" s="17"/>
    </row>
    <row r="115" spans="1:11" ht="45" x14ac:dyDescent="0.2">
      <c r="A115" s="11" t="s">
        <v>106</v>
      </c>
      <c r="B115" s="12" t="s">
        <v>107</v>
      </c>
      <c r="C115" s="12"/>
      <c r="D115" s="12"/>
      <c r="E115" s="13"/>
      <c r="F115" s="263"/>
      <c r="G115" s="13"/>
      <c r="H115" s="13">
        <v>0.58699999999999997</v>
      </c>
      <c r="I115" s="13"/>
      <c r="J115" s="13"/>
    </row>
    <row r="116" spans="1:11" ht="33.75" x14ac:dyDescent="0.2">
      <c r="A116" s="15" t="s">
        <v>106</v>
      </c>
      <c r="B116" s="16" t="s">
        <v>108</v>
      </c>
      <c r="C116" s="16" t="s">
        <v>23</v>
      </c>
      <c r="D116" s="16" t="s">
        <v>24</v>
      </c>
      <c r="E116" s="17"/>
      <c r="F116" s="264"/>
      <c r="G116" s="17"/>
      <c r="H116" s="17">
        <v>0.58699999999999997</v>
      </c>
      <c r="I116" s="17"/>
      <c r="J116" s="17"/>
    </row>
    <row r="117" spans="1:11" ht="29.25" customHeight="1" x14ac:dyDescent="0.2">
      <c r="A117" s="164" t="s">
        <v>111</v>
      </c>
      <c r="B117" s="165" t="s">
        <v>112</v>
      </c>
      <c r="C117" s="165"/>
      <c r="D117" s="165"/>
      <c r="E117" s="106">
        <v>63</v>
      </c>
      <c r="F117" s="263">
        <v>100</v>
      </c>
      <c r="G117" s="163"/>
      <c r="H117" s="106">
        <v>62.46</v>
      </c>
      <c r="I117" s="106">
        <v>99.143000000000001</v>
      </c>
      <c r="J117" s="106">
        <v>62.46</v>
      </c>
      <c r="K117" s="67"/>
    </row>
    <row r="118" spans="1:11" ht="33.75" x14ac:dyDescent="0.2">
      <c r="A118" s="11" t="s">
        <v>113</v>
      </c>
      <c r="B118" s="12" t="s">
        <v>114</v>
      </c>
      <c r="C118" s="12"/>
      <c r="D118" s="12"/>
      <c r="E118" s="13">
        <v>63</v>
      </c>
      <c r="F118" s="263">
        <v>100</v>
      </c>
      <c r="G118" s="13"/>
      <c r="H118" s="13">
        <v>62.46</v>
      </c>
      <c r="I118" s="13">
        <v>99.143000000000001</v>
      </c>
      <c r="J118" s="13">
        <v>62.46</v>
      </c>
    </row>
    <row r="119" spans="1:11" ht="33.75" x14ac:dyDescent="0.2">
      <c r="A119" s="15" t="s">
        <v>113</v>
      </c>
      <c r="B119" s="16" t="s">
        <v>439</v>
      </c>
      <c r="C119" s="16" t="s">
        <v>23</v>
      </c>
      <c r="D119" s="16" t="s">
        <v>24</v>
      </c>
      <c r="E119" s="17">
        <v>63</v>
      </c>
      <c r="F119" s="264">
        <v>100</v>
      </c>
      <c r="G119" s="17"/>
      <c r="H119" s="17"/>
      <c r="I119" s="17"/>
      <c r="J119" s="17"/>
    </row>
    <row r="120" spans="1:11" ht="67.5" x14ac:dyDescent="0.2">
      <c r="A120" s="11" t="s">
        <v>115</v>
      </c>
      <c r="B120" s="12" t="s">
        <v>116</v>
      </c>
      <c r="C120" s="12"/>
      <c r="D120" s="12"/>
      <c r="E120" s="13"/>
      <c r="F120" s="263"/>
      <c r="G120" s="13"/>
      <c r="H120" s="13">
        <v>62.39</v>
      </c>
      <c r="I120" s="13"/>
      <c r="J120" s="13"/>
    </row>
    <row r="121" spans="1:11" ht="56.25" x14ac:dyDescent="0.2">
      <c r="A121" s="15" t="s">
        <v>115</v>
      </c>
      <c r="B121" s="16" t="s">
        <v>117</v>
      </c>
      <c r="C121" s="16" t="s">
        <v>23</v>
      </c>
      <c r="D121" s="16" t="s">
        <v>24</v>
      </c>
      <c r="E121" s="17"/>
      <c r="F121" s="264"/>
      <c r="G121" s="17"/>
      <c r="H121" s="17">
        <v>62.39</v>
      </c>
      <c r="I121" s="17"/>
      <c r="J121" s="17"/>
    </row>
    <row r="122" spans="1:11" ht="45" x14ac:dyDescent="0.2">
      <c r="A122" s="11" t="s">
        <v>118</v>
      </c>
      <c r="B122" s="12" t="s">
        <v>707</v>
      </c>
      <c r="C122" s="12"/>
      <c r="D122" s="12"/>
      <c r="E122" s="13"/>
      <c r="F122" s="263"/>
      <c r="G122" s="13"/>
      <c r="H122" s="13">
        <v>7.0000000000000007E-2</v>
      </c>
      <c r="I122" s="13"/>
      <c r="J122" s="13"/>
    </row>
    <row r="123" spans="1:11" ht="45" x14ac:dyDescent="0.2">
      <c r="A123" s="15" t="s">
        <v>118</v>
      </c>
      <c r="B123" s="16" t="s">
        <v>708</v>
      </c>
      <c r="C123" s="16" t="s">
        <v>23</v>
      </c>
      <c r="D123" s="16" t="s">
        <v>24</v>
      </c>
      <c r="E123" s="17"/>
      <c r="F123" s="264"/>
      <c r="G123" s="17"/>
      <c r="H123" s="17">
        <v>7.0000000000000007E-2</v>
      </c>
      <c r="I123" s="17"/>
      <c r="J123" s="17"/>
    </row>
    <row r="124" spans="1:11" ht="21.75" customHeight="1" x14ac:dyDescent="0.2">
      <c r="A124" s="161" t="s">
        <v>119</v>
      </c>
      <c r="B124" s="162" t="s">
        <v>120</v>
      </c>
      <c r="C124" s="162"/>
      <c r="D124" s="162"/>
      <c r="E124" s="66">
        <v>10150.5</v>
      </c>
      <c r="F124" s="263">
        <v>8650.5</v>
      </c>
      <c r="G124" s="163">
        <v>868.18</v>
      </c>
      <c r="H124" s="66">
        <v>7346.6819999999998</v>
      </c>
      <c r="I124" s="66">
        <v>72.378</v>
      </c>
      <c r="J124" s="66">
        <v>84.927999999999997</v>
      </c>
    </row>
    <row r="125" spans="1:11" ht="33.75" x14ac:dyDescent="0.2">
      <c r="A125" s="11" t="s">
        <v>121</v>
      </c>
      <c r="B125" s="12" t="s">
        <v>122</v>
      </c>
      <c r="C125" s="12"/>
      <c r="D125" s="12"/>
      <c r="E125" s="13">
        <v>10130.5</v>
      </c>
      <c r="F125" s="263">
        <v>8630.5</v>
      </c>
      <c r="G125" s="13">
        <v>868.18</v>
      </c>
      <c r="H125" s="13">
        <v>7346.6819999999998</v>
      </c>
      <c r="I125" s="13">
        <v>72.52</v>
      </c>
      <c r="J125" s="13">
        <v>85.125</v>
      </c>
    </row>
    <row r="126" spans="1:11" ht="45" x14ac:dyDescent="0.2">
      <c r="A126" s="11" t="s">
        <v>123</v>
      </c>
      <c r="B126" s="12" t="s">
        <v>124</v>
      </c>
      <c r="C126" s="12"/>
      <c r="D126" s="12"/>
      <c r="E126" s="13">
        <v>10130.5</v>
      </c>
      <c r="F126" s="263">
        <v>8630.5</v>
      </c>
      <c r="G126" s="13">
        <v>868.18</v>
      </c>
      <c r="H126" s="13">
        <v>7346.6819999999998</v>
      </c>
      <c r="I126" s="13">
        <v>72.52</v>
      </c>
      <c r="J126" s="13">
        <v>85.125</v>
      </c>
    </row>
    <row r="127" spans="1:11" ht="78.75" x14ac:dyDescent="0.2">
      <c r="A127" s="14" t="s">
        <v>126</v>
      </c>
      <c r="B127" s="12" t="s">
        <v>127</v>
      </c>
      <c r="C127" s="12"/>
      <c r="D127" s="12"/>
      <c r="E127" s="13">
        <v>10130.5</v>
      </c>
      <c r="F127" s="263">
        <v>8630.5</v>
      </c>
      <c r="G127" s="13">
        <v>868.18</v>
      </c>
      <c r="H127" s="13">
        <v>7347.2820000000002</v>
      </c>
      <c r="I127" s="13">
        <v>72.525999999999996</v>
      </c>
      <c r="J127" s="13">
        <v>85.132000000000005</v>
      </c>
    </row>
    <row r="128" spans="1:11" ht="67.5" x14ac:dyDescent="0.2">
      <c r="A128" s="18" t="s">
        <v>126</v>
      </c>
      <c r="B128" s="16" t="s">
        <v>128</v>
      </c>
      <c r="C128" s="16" t="s">
        <v>23</v>
      </c>
      <c r="D128" s="16" t="s">
        <v>24</v>
      </c>
      <c r="E128" s="17">
        <v>10130.5</v>
      </c>
      <c r="F128" s="264">
        <v>8630.5</v>
      </c>
      <c r="G128" s="17">
        <v>868.18</v>
      </c>
      <c r="H128" s="17">
        <v>7347.2820000000002</v>
      </c>
      <c r="I128" s="17">
        <v>72.525999999999996</v>
      </c>
      <c r="J128" s="17">
        <v>85.132000000000005</v>
      </c>
    </row>
    <row r="129" spans="1:14" ht="45" x14ac:dyDescent="0.2">
      <c r="A129" s="11" t="s">
        <v>548</v>
      </c>
      <c r="B129" s="12" t="s">
        <v>549</v>
      </c>
      <c r="C129" s="12"/>
      <c r="D129" s="12"/>
      <c r="E129" s="13"/>
      <c r="F129" s="263"/>
      <c r="G129" s="13"/>
      <c r="H129" s="13">
        <v>-0.6</v>
      </c>
      <c r="I129" s="13"/>
      <c r="J129" s="13"/>
    </row>
    <row r="130" spans="1:14" ht="45" x14ac:dyDescent="0.2">
      <c r="A130" s="15" t="s">
        <v>548</v>
      </c>
      <c r="B130" s="16" t="s">
        <v>550</v>
      </c>
      <c r="C130" s="16" t="s">
        <v>23</v>
      </c>
      <c r="D130" s="16" t="s">
        <v>24</v>
      </c>
      <c r="E130" s="17"/>
      <c r="F130" s="264"/>
      <c r="G130" s="17"/>
      <c r="H130" s="17">
        <v>-0.6</v>
      </c>
      <c r="I130" s="17"/>
      <c r="J130" s="17"/>
    </row>
    <row r="131" spans="1:14" ht="33.75" x14ac:dyDescent="0.2">
      <c r="A131" s="11" t="s">
        <v>129</v>
      </c>
      <c r="B131" s="12" t="s">
        <v>130</v>
      </c>
      <c r="C131" s="12"/>
      <c r="D131" s="12"/>
      <c r="E131" s="13">
        <v>20</v>
      </c>
      <c r="F131" s="263">
        <v>20</v>
      </c>
      <c r="G131" s="13"/>
      <c r="H131" s="13"/>
      <c r="I131" s="13"/>
      <c r="J131" s="13"/>
    </row>
    <row r="132" spans="1:14" ht="22.5" x14ac:dyDescent="0.2">
      <c r="A132" s="11" t="s">
        <v>131</v>
      </c>
      <c r="B132" s="12" t="s">
        <v>132</v>
      </c>
      <c r="C132" s="12"/>
      <c r="D132" s="12"/>
      <c r="E132" s="13">
        <v>20</v>
      </c>
      <c r="F132" s="263">
        <v>20</v>
      </c>
      <c r="G132" s="13"/>
      <c r="H132" s="13"/>
      <c r="I132" s="13"/>
      <c r="J132" s="13"/>
    </row>
    <row r="133" spans="1:14" ht="56.25" x14ac:dyDescent="0.2">
      <c r="A133" s="11" t="s">
        <v>134</v>
      </c>
      <c r="B133" s="12" t="s">
        <v>902</v>
      </c>
      <c r="C133" s="12"/>
      <c r="D133" s="12"/>
      <c r="E133" s="13">
        <v>20</v>
      </c>
      <c r="F133" s="263">
        <v>20</v>
      </c>
      <c r="G133" s="13"/>
      <c r="H133" s="13"/>
      <c r="I133" s="13"/>
      <c r="J133" s="13"/>
    </row>
    <row r="134" spans="1:14" ht="56.25" x14ac:dyDescent="0.2">
      <c r="A134" s="15" t="s">
        <v>134</v>
      </c>
      <c r="B134" s="16" t="s">
        <v>903</v>
      </c>
      <c r="C134" s="16" t="s">
        <v>23</v>
      </c>
      <c r="D134" s="16" t="s">
        <v>24</v>
      </c>
      <c r="E134" s="17">
        <v>20</v>
      </c>
      <c r="F134" s="264">
        <v>20</v>
      </c>
      <c r="G134" s="17"/>
      <c r="H134" s="17"/>
      <c r="I134" s="17"/>
      <c r="J134" s="17"/>
    </row>
    <row r="135" spans="1:14" ht="33.75" x14ac:dyDescent="0.2">
      <c r="A135" s="161" t="s">
        <v>141</v>
      </c>
      <c r="B135" s="162" t="s">
        <v>142</v>
      </c>
      <c r="C135" s="162"/>
      <c r="D135" s="162"/>
      <c r="E135" s="66">
        <v>11850.475</v>
      </c>
      <c r="F135" s="263">
        <v>14853.183000000001</v>
      </c>
      <c r="G135" s="163">
        <v>1019.405</v>
      </c>
      <c r="H135" s="66">
        <v>12430.409</v>
      </c>
      <c r="I135" s="66">
        <v>104.89400000000001</v>
      </c>
      <c r="J135" s="66">
        <v>83.688999999999993</v>
      </c>
    </row>
    <row r="136" spans="1:14" ht="22.5" x14ac:dyDescent="0.2">
      <c r="A136" s="164" t="s">
        <v>143</v>
      </c>
      <c r="B136" s="165" t="s">
        <v>144</v>
      </c>
      <c r="C136" s="165"/>
      <c r="D136" s="165"/>
      <c r="E136" s="106">
        <v>3.7749999999999999</v>
      </c>
      <c r="F136" s="263">
        <v>3.7749999999999999</v>
      </c>
      <c r="G136" s="163"/>
      <c r="H136" s="106"/>
      <c r="I136" s="106"/>
      <c r="J136" s="106"/>
    </row>
    <row r="137" spans="1:14" ht="33.75" x14ac:dyDescent="0.2">
      <c r="A137" s="11" t="s">
        <v>145</v>
      </c>
      <c r="B137" s="12" t="s">
        <v>146</v>
      </c>
      <c r="C137" s="12"/>
      <c r="D137" s="12"/>
      <c r="E137" s="13">
        <v>3.7749999999999999</v>
      </c>
      <c r="F137" s="263">
        <v>3.7749999999999999</v>
      </c>
      <c r="G137" s="13"/>
      <c r="H137" s="13"/>
      <c r="I137" s="13"/>
      <c r="J137" s="13"/>
    </row>
    <row r="138" spans="1:14" ht="33.75" x14ac:dyDescent="0.2">
      <c r="A138" s="15" t="s">
        <v>145</v>
      </c>
      <c r="B138" s="16" t="s">
        <v>147</v>
      </c>
      <c r="C138" s="16" t="s">
        <v>23</v>
      </c>
      <c r="D138" s="16" t="s">
        <v>24</v>
      </c>
      <c r="E138" s="17">
        <v>3.7749999999999999</v>
      </c>
      <c r="F138" s="264">
        <v>3.7749999999999999</v>
      </c>
      <c r="G138" s="17"/>
      <c r="H138" s="17"/>
      <c r="I138" s="17"/>
      <c r="J138" s="17"/>
    </row>
    <row r="139" spans="1:14" ht="86.25" customHeight="1" x14ac:dyDescent="0.2">
      <c r="A139" s="164" t="s">
        <v>148</v>
      </c>
      <c r="B139" s="165" t="s">
        <v>149</v>
      </c>
      <c r="C139" s="165"/>
      <c r="D139" s="165"/>
      <c r="E139" s="106">
        <v>10716.7</v>
      </c>
      <c r="F139" s="263">
        <v>13496.218000000001</v>
      </c>
      <c r="G139" s="163">
        <v>973.38499999999999</v>
      </c>
      <c r="H139" s="106">
        <v>11322.684999999999</v>
      </c>
      <c r="I139" s="106">
        <v>105.655</v>
      </c>
      <c r="J139" s="106">
        <v>83.894999999999996</v>
      </c>
      <c r="K139" s="67"/>
      <c r="L139" s="166"/>
      <c r="M139" s="67"/>
    </row>
    <row r="140" spans="1:14" ht="65.25" customHeight="1" x14ac:dyDescent="0.2">
      <c r="A140" s="164" t="s">
        <v>150</v>
      </c>
      <c r="B140" s="165" t="s">
        <v>151</v>
      </c>
      <c r="C140" s="165"/>
      <c r="D140" s="165"/>
      <c r="E140" s="106">
        <v>10075.700000000001</v>
      </c>
      <c r="F140" s="263">
        <v>13134.8</v>
      </c>
      <c r="G140" s="163">
        <v>899.697</v>
      </c>
      <c r="H140" s="106">
        <v>10948.521000000001</v>
      </c>
      <c r="I140" s="106">
        <v>108.663</v>
      </c>
      <c r="J140" s="106">
        <v>83.355000000000004</v>
      </c>
      <c r="K140" s="67"/>
      <c r="L140" s="67">
        <f>G140+G146</f>
        <v>976.803</v>
      </c>
      <c r="M140" s="67"/>
      <c r="N140" s="67"/>
    </row>
    <row r="141" spans="1:14" ht="78.75" x14ac:dyDescent="0.2">
      <c r="A141" s="14" t="s">
        <v>716</v>
      </c>
      <c r="B141" s="12" t="s">
        <v>462</v>
      </c>
      <c r="C141" s="12"/>
      <c r="D141" s="12"/>
      <c r="E141" s="13">
        <v>4165</v>
      </c>
      <c r="F141" s="263">
        <v>6538.9</v>
      </c>
      <c r="G141" s="13">
        <v>506.41300000000001</v>
      </c>
      <c r="H141" s="13">
        <v>5515.3869999999997</v>
      </c>
      <c r="I141" s="13">
        <v>132.422</v>
      </c>
      <c r="J141" s="13">
        <v>84.346999999999994</v>
      </c>
    </row>
    <row r="142" spans="1:14" ht="78.75" x14ac:dyDescent="0.2">
      <c r="A142" s="18" t="s">
        <v>716</v>
      </c>
      <c r="B142" s="16" t="s">
        <v>463</v>
      </c>
      <c r="C142" s="16" t="s">
        <v>23</v>
      </c>
      <c r="D142" s="16" t="s">
        <v>24</v>
      </c>
      <c r="E142" s="17">
        <v>4165</v>
      </c>
      <c r="F142" s="264">
        <v>6538.9</v>
      </c>
      <c r="G142" s="17">
        <v>506.41300000000001</v>
      </c>
      <c r="H142" s="17">
        <v>5515.3869999999997</v>
      </c>
      <c r="I142" s="17">
        <v>132.422</v>
      </c>
      <c r="J142" s="17">
        <v>84.346999999999994</v>
      </c>
    </row>
    <row r="143" spans="1:14" ht="67.5" x14ac:dyDescent="0.2">
      <c r="A143" s="14" t="s">
        <v>152</v>
      </c>
      <c r="B143" s="12" t="s">
        <v>153</v>
      </c>
      <c r="C143" s="12"/>
      <c r="D143" s="12"/>
      <c r="E143" s="13">
        <v>5910.7</v>
      </c>
      <c r="F143" s="263">
        <v>6595.9</v>
      </c>
      <c r="G143" s="13">
        <v>393.28399999999999</v>
      </c>
      <c r="H143" s="13">
        <v>5433.134</v>
      </c>
      <c r="I143" s="13">
        <v>91.92</v>
      </c>
      <c r="J143" s="13">
        <v>82.370999999999995</v>
      </c>
    </row>
    <row r="144" spans="1:14" ht="67.5" x14ac:dyDescent="0.2">
      <c r="A144" s="18" t="s">
        <v>152</v>
      </c>
      <c r="B144" s="16" t="s">
        <v>155</v>
      </c>
      <c r="C144" s="16" t="s">
        <v>23</v>
      </c>
      <c r="D144" s="16" t="s">
        <v>24</v>
      </c>
      <c r="E144" s="17">
        <v>4161.6000000000004</v>
      </c>
      <c r="F144" s="264">
        <v>3097.7</v>
      </c>
      <c r="G144" s="17">
        <v>93.656000000000006</v>
      </c>
      <c r="H144" s="17">
        <v>2210.8560000000002</v>
      </c>
      <c r="I144" s="17">
        <v>53.125</v>
      </c>
      <c r="J144" s="17">
        <v>71.370999999999995</v>
      </c>
    </row>
    <row r="145" spans="1:10" ht="67.5" x14ac:dyDescent="0.2">
      <c r="A145" s="18" t="s">
        <v>152</v>
      </c>
      <c r="B145" s="16" t="s">
        <v>156</v>
      </c>
      <c r="C145" s="16" t="s">
        <v>23</v>
      </c>
      <c r="D145" s="16" t="s">
        <v>24</v>
      </c>
      <c r="E145" s="17">
        <v>1749.1</v>
      </c>
      <c r="F145" s="264">
        <v>3498.2</v>
      </c>
      <c r="G145" s="17">
        <v>299.62799999999999</v>
      </c>
      <c r="H145" s="17">
        <v>3222.2779999999998</v>
      </c>
      <c r="I145" s="17">
        <v>184.22499999999999</v>
      </c>
      <c r="J145" s="17">
        <v>92.113</v>
      </c>
    </row>
    <row r="146" spans="1:10" ht="92.25" customHeight="1" x14ac:dyDescent="0.2">
      <c r="A146" s="164" t="s">
        <v>464</v>
      </c>
      <c r="B146" s="165" t="s">
        <v>551</v>
      </c>
      <c r="C146" s="165"/>
      <c r="D146" s="165"/>
      <c r="E146" s="106">
        <v>641</v>
      </c>
      <c r="F146" s="263">
        <v>358</v>
      </c>
      <c r="G146" s="163">
        <v>77.105999999999995</v>
      </c>
      <c r="H146" s="106">
        <v>374.16399999999999</v>
      </c>
      <c r="I146" s="106">
        <v>58.372</v>
      </c>
      <c r="J146" s="106">
        <v>104.515</v>
      </c>
    </row>
    <row r="147" spans="1:10" ht="67.5" x14ac:dyDescent="0.2">
      <c r="A147" s="11" t="s">
        <v>466</v>
      </c>
      <c r="B147" s="12" t="s">
        <v>465</v>
      </c>
      <c r="C147" s="12"/>
      <c r="D147" s="12"/>
      <c r="E147" s="13">
        <v>641</v>
      </c>
      <c r="F147" s="263">
        <v>358</v>
      </c>
      <c r="G147" s="13">
        <v>77.105999999999995</v>
      </c>
      <c r="H147" s="13">
        <v>374.16399999999999</v>
      </c>
      <c r="I147" s="13">
        <v>58.372</v>
      </c>
      <c r="J147" s="13">
        <v>104.515</v>
      </c>
    </row>
    <row r="148" spans="1:10" ht="67.5" x14ac:dyDescent="0.2">
      <c r="A148" s="15" t="s">
        <v>466</v>
      </c>
      <c r="B148" s="16" t="s">
        <v>467</v>
      </c>
      <c r="C148" s="16" t="s">
        <v>23</v>
      </c>
      <c r="D148" s="16" t="s">
        <v>24</v>
      </c>
      <c r="E148" s="17">
        <v>641</v>
      </c>
      <c r="F148" s="264">
        <v>358</v>
      </c>
      <c r="G148" s="17">
        <v>77.105999999999995</v>
      </c>
      <c r="H148" s="17">
        <v>374.16399999999999</v>
      </c>
      <c r="I148" s="17">
        <v>58.372</v>
      </c>
      <c r="J148" s="17">
        <v>104.515</v>
      </c>
    </row>
    <row r="149" spans="1:10" ht="78.75" x14ac:dyDescent="0.2">
      <c r="A149" s="172" t="s">
        <v>157</v>
      </c>
      <c r="B149" s="165" t="s">
        <v>158</v>
      </c>
      <c r="C149" s="165"/>
      <c r="D149" s="165"/>
      <c r="E149" s="106"/>
      <c r="F149" s="263">
        <v>3.4180000000000001</v>
      </c>
      <c r="G149" s="163">
        <v>-3.4180000000000001</v>
      </c>
      <c r="H149" s="106"/>
      <c r="I149" s="106"/>
      <c r="J149" s="106"/>
    </row>
    <row r="150" spans="1:10" ht="67.5" x14ac:dyDescent="0.2">
      <c r="A150" s="11" t="s">
        <v>159</v>
      </c>
      <c r="B150" s="12" t="s">
        <v>160</v>
      </c>
      <c r="C150" s="12"/>
      <c r="D150" s="12"/>
      <c r="E150" s="13"/>
      <c r="F150" s="263">
        <v>3.4180000000000001</v>
      </c>
      <c r="G150" s="13">
        <v>-3.4180000000000001</v>
      </c>
      <c r="H150" s="13"/>
      <c r="I150" s="13"/>
      <c r="J150" s="13"/>
    </row>
    <row r="151" spans="1:10" ht="56.25" x14ac:dyDescent="0.2">
      <c r="A151" s="15" t="s">
        <v>159</v>
      </c>
      <c r="B151" s="16" t="s">
        <v>161</v>
      </c>
      <c r="C151" s="16" t="s">
        <v>23</v>
      </c>
      <c r="D151" s="16" t="s">
        <v>24</v>
      </c>
      <c r="E151" s="17"/>
      <c r="F151" s="264">
        <v>3.4180000000000001</v>
      </c>
      <c r="G151" s="17">
        <v>-3.4180000000000001</v>
      </c>
      <c r="H151" s="17"/>
      <c r="I151" s="17"/>
      <c r="J151" s="17"/>
    </row>
    <row r="152" spans="1:10" ht="60" customHeight="1" x14ac:dyDescent="0.2">
      <c r="A152" s="172" t="s">
        <v>904</v>
      </c>
      <c r="B152" s="165" t="s">
        <v>905</v>
      </c>
      <c r="C152" s="165"/>
      <c r="D152" s="165"/>
      <c r="E152" s="106"/>
      <c r="F152" s="263">
        <v>1.139</v>
      </c>
      <c r="G152" s="163"/>
      <c r="H152" s="106">
        <v>1.139</v>
      </c>
      <c r="I152" s="106"/>
      <c r="J152" s="106">
        <v>100</v>
      </c>
    </row>
    <row r="153" spans="1:10" ht="33.75" x14ac:dyDescent="0.2">
      <c r="A153" s="11" t="s">
        <v>468</v>
      </c>
      <c r="B153" s="12" t="s">
        <v>906</v>
      </c>
      <c r="C153" s="12"/>
      <c r="D153" s="12"/>
      <c r="E153" s="13"/>
      <c r="F153" s="263">
        <v>1.139</v>
      </c>
      <c r="G153" s="13"/>
      <c r="H153" s="13">
        <v>1.139</v>
      </c>
      <c r="I153" s="13"/>
      <c r="J153" s="13">
        <v>100</v>
      </c>
    </row>
    <row r="154" spans="1:10" ht="135" x14ac:dyDescent="0.2">
      <c r="A154" s="14" t="s">
        <v>907</v>
      </c>
      <c r="B154" s="12" t="s">
        <v>908</v>
      </c>
      <c r="C154" s="12"/>
      <c r="D154" s="12"/>
      <c r="E154" s="13"/>
      <c r="F154" s="263">
        <v>1.139</v>
      </c>
      <c r="G154" s="13"/>
      <c r="H154" s="13">
        <v>1.139</v>
      </c>
      <c r="I154" s="13"/>
      <c r="J154" s="13">
        <v>100</v>
      </c>
    </row>
    <row r="155" spans="1:10" ht="123.75" x14ac:dyDescent="0.2">
      <c r="A155" s="18" t="s">
        <v>907</v>
      </c>
      <c r="B155" s="16" t="s">
        <v>909</v>
      </c>
      <c r="C155" s="16" t="s">
        <v>23</v>
      </c>
      <c r="D155" s="16" t="s">
        <v>24</v>
      </c>
      <c r="E155" s="17"/>
      <c r="F155" s="264">
        <v>1.139</v>
      </c>
      <c r="G155" s="17"/>
      <c r="H155" s="17">
        <v>1.139</v>
      </c>
      <c r="I155" s="17"/>
      <c r="J155" s="17">
        <v>100</v>
      </c>
    </row>
    <row r="156" spans="1:10" ht="36.75" customHeight="1" x14ac:dyDescent="0.2">
      <c r="A156" s="172" t="s">
        <v>910</v>
      </c>
      <c r="B156" s="165" t="s">
        <v>911</v>
      </c>
      <c r="C156" s="165"/>
      <c r="D156" s="165"/>
      <c r="E156" s="106"/>
      <c r="F156" s="263">
        <v>9</v>
      </c>
      <c r="G156" s="163"/>
      <c r="H156" s="106">
        <v>9</v>
      </c>
      <c r="I156" s="106"/>
      <c r="J156" s="106">
        <v>100</v>
      </c>
    </row>
    <row r="157" spans="1:10" ht="45" x14ac:dyDescent="0.2">
      <c r="A157" s="11" t="s">
        <v>912</v>
      </c>
      <c r="B157" s="12" t="s">
        <v>913</v>
      </c>
      <c r="C157" s="12"/>
      <c r="D157" s="12"/>
      <c r="E157" s="13"/>
      <c r="F157" s="263">
        <v>9</v>
      </c>
      <c r="G157" s="13"/>
      <c r="H157" s="13">
        <v>9</v>
      </c>
      <c r="I157" s="13"/>
      <c r="J157" s="13">
        <v>100</v>
      </c>
    </row>
    <row r="158" spans="1:10" ht="56.25" x14ac:dyDescent="0.2">
      <c r="A158" s="11" t="s">
        <v>914</v>
      </c>
      <c r="B158" s="12" t="s">
        <v>915</v>
      </c>
      <c r="C158" s="12"/>
      <c r="D158" s="12"/>
      <c r="E158" s="13"/>
      <c r="F158" s="263">
        <v>9</v>
      </c>
      <c r="G158" s="13"/>
      <c r="H158" s="13">
        <v>9</v>
      </c>
      <c r="I158" s="13"/>
      <c r="J158" s="13">
        <v>100</v>
      </c>
    </row>
    <row r="159" spans="1:10" ht="45" x14ac:dyDescent="0.2">
      <c r="A159" s="15" t="s">
        <v>914</v>
      </c>
      <c r="B159" s="16" t="s">
        <v>916</v>
      </c>
      <c r="C159" s="16" t="s">
        <v>23</v>
      </c>
      <c r="D159" s="16" t="s">
        <v>24</v>
      </c>
      <c r="E159" s="17"/>
      <c r="F159" s="264">
        <v>9</v>
      </c>
      <c r="G159" s="17"/>
      <c r="H159" s="17">
        <v>9</v>
      </c>
      <c r="I159" s="17"/>
      <c r="J159" s="17">
        <v>100</v>
      </c>
    </row>
    <row r="160" spans="1:10" ht="67.5" customHeight="1" x14ac:dyDescent="0.2">
      <c r="A160" s="172" t="s">
        <v>162</v>
      </c>
      <c r="B160" s="165" t="s">
        <v>163</v>
      </c>
      <c r="C160" s="165"/>
      <c r="D160" s="165"/>
      <c r="E160" s="106">
        <v>1130</v>
      </c>
      <c r="F160" s="263">
        <v>1343.0509999999999</v>
      </c>
      <c r="G160" s="163">
        <v>46.021000000000001</v>
      </c>
      <c r="H160" s="106">
        <v>1097.585</v>
      </c>
      <c r="I160" s="106">
        <v>97.131</v>
      </c>
      <c r="J160" s="106">
        <v>81.722999999999999</v>
      </c>
    </row>
    <row r="161" spans="1:10" ht="67.5" x14ac:dyDescent="0.2">
      <c r="A161" s="14" t="s">
        <v>164</v>
      </c>
      <c r="B161" s="12" t="s">
        <v>165</v>
      </c>
      <c r="C161" s="12"/>
      <c r="D161" s="12"/>
      <c r="E161" s="13">
        <v>1130</v>
      </c>
      <c r="F161" s="263">
        <v>1343.0509999999999</v>
      </c>
      <c r="G161" s="13">
        <v>46.021000000000001</v>
      </c>
      <c r="H161" s="13">
        <v>1097.585</v>
      </c>
      <c r="I161" s="13">
        <v>97.131</v>
      </c>
      <c r="J161" s="13">
        <v>81.722999999999999</v>
      </c>
    </row>
    <row r="162" spans="1:10" ht="67.5" x14ac:dyDescent="0.2">
      <c r="A162" s="11" t="s">
        <v>166</v>
      </c>
      <c r="B162" s="12" t="s">
        <v>167</v>
      </c>
      <c r="C162" s="12"/>
      <c r="D162" s="12"/>
      <c r="E162" s="13">
        <v>1130</v>
      </c>
      <c r="F162" s="263">
        <v>1343.0509999999999</v>
      </c>
      <c r="G162" s="13">
        <v>46.021000000000001</v>
      </c>
      <c r="H162" s="13">
        <v>1097.585</v>
      </c>
      <c r="I162" s="13">
        <v>97.131</v>
      </c>
      <c r="J162" s="13">
        <v>81.722999999999999</v>
      </c>
    </row>
    <row r="163" spans="1:10" ht="67.5" x14ac:dyDescent="0.2">
      <c r="A163" s="15" t="s">
        <v>166</v>
      </c>
      <c r="B163" s="16" t="s">
        <v>168</v>
      </c>
      <c r="C163" s="16" t="s">
        <v>23</v>
      </c>
      <c r="D163" s="16" t="s">
        <v>24</v>
      </c>
      <c r="E163" s="17">
        <v>1130</v>
      </c>
      <c r="F163" s="264">
        <v>1343.0509999999999</v>
      </c>
      <c r="G163" s="17">
        <v>46.021000000000001</v>
      </c>
      <c r="H163" s="17">
        <v>1097.585</v>
      </c>
      <c r="I163" s="17">
        <v>97.131</v>
      </c>
      <c r="J163" s="17">
        <v>81.722999999999999</v>
      </c>
    </row>
    <row r="164" spans="1:10" ht="37.5" customHeight="1" x14ac:dyDescent="0.2">
      <c r="A164" s="161" t="s">
        <v>169</v>
      </c>
      <c r="B164" s="162" t="s">
        <v>170</v>
      </c>
      <c r="C164" s="162"/>
      <c r="D164" s="162"/>
      <c r="E164" s="66">
        <v>802.4</v>
      </c>
      <c r="F164" s="263">
        <v>890</v>
      </c>
      <c r="G164" s="163">
        <v>107.271</v>
      </c>
      <c r="H164" s="66">
        <v>811.65899999999999</v>
      </c>
      <c r="I164" s="66">
        <v>101.154</v>
      </c>
      <c r="J164" s="66">
        <v>91.197999999999993</v>
      </c>
    </row>
    <row r="165" spans="1:10" ht="22.5" x14ac:dyDescent="0.2">
      <c r="A165" s="11" t="s">
        <v>171</v>
      </c>
      <c r="B165" s="12" t="s">
        <v>172</v>
      </c>
      <c r="C165" s="12"/>
      <c r="D165" s="12"/>
      <c r="E165" s="13">
        <v>802.4</v>
      </c>
      <c r="F165" s="263">
        <v>890</v>
      </c>
      <c r="G165" s="13">
        <v>107.271</v>
      </c>
      <c r="H165" s="13">
        <v>811.65899999999999</v>
      </c>
      <c r="I165" s="13">
        <v>101.154</v>
      </c>
      <c r="J165" s="13">
        <v>91.197999999999993</v>
      </c>
    </row>
    <row r="166" spans="1:10" ht="22.5" x14ac:dyDescent="0.2">
      <c r="A166" s="11" t="s">
        <v>173</v>
      </c>
      <c r="B166" s="12" t="s">
        <v>174</v>
      </c>
      <c r="C166" s="12"/>
      <c r="D166" s="12"/>
      <c r="E166" s="13">
        <v>202.6</v>
      </c>
      <c r="F166" s="263">
        <v>284</v>
      </c>
      <c r="G166" s="13">
        <v>39.040999999999997</v>
      </c>
      <c r="H166" s="13">
        <v>244.39500000000001</v>
      </c>
      <c r="I166" s="13">
        <v>120.629</v>
      </c>
      <c r="J166" s="13">
        <v>86.055000000000007</v>
      </c>
    </row>
    <row r="167" spans="1:10" ht="22.5" x14ac:dyDescent="0.2">
      <c r="A167" s="15" t="s">
        <v>173</v>
      </c>
      <c r="B167" s="16" t="s">
        <v>175</v>
      </c>
      <c r="C167" s="16" t="s">
        <v>23</v>
      </c>
      <c r="D167" s="16" t="s">
        <v>24</v>
      </c>
      <c r="E167" s="17">
        <v>202.6</v>
      </c>
      <c r="F167" s="264">
        <v>284</v>
      </c>
      <c r="G167" s="17"/>
      <c r="H167" s="17"/>
      <c r="I167" s="17"/>
      <c r="J167" s="17"/>
    </row>
    <row r="168" spans="1:10" ht="56.25" x14ac:dyDescent="0.2">
      <c r="A168" s="11" t="s">
        <v>176</v>
      </c>
      <c r="B168" s="12" t="s">
        <v>177</v>
      </c>
      <c r="C168" s="12"/>
      <c r="D168" s="12"/>
      <c r="E168" s="13"/>
      <c r="F168" s="263"/>
      <c r="G168" s="13">
        <v>39.040999999999997</v>
      </c>
      <c r="H168" s="13">
        <v>244.39500000000001</v>
      </c>
      <c r="I168" s="13"/>
      <c r="J168" s="13"/>
    </row>
    <row r="169" spans="1:10" ht="56.25" x14ac:dyDescent="0.2">
      <c r="A169" s="15" t="s">
        <v>176</v>
      </c>
      <c r="B169" s="16" t="s">
        <v>178</v>
      </c>
      <c r="C169" s="16" t="s">
        <v>23</v>
      </c>
      <c r="D169" s="16" t="s">
        <v>24</v>
      </c>
      <c r="E169" s="17"/>
      <c r="F169" s="264"/>
      <c r="G169" s="17">
        <v>39.040999999999997</v>
      </c>
      <c r="H169" s="17">
        <v>244.39500000000001</v>
      </c>
      <c r="I169" s="17"/>
      <c r="J169" s="17"/>
    </row>
    <row r="170" spans="1:10" ht="22.5" x14ac:dyDescent="0.2">
      <c r="A170" s="11" t="s">
        <v>181</v>
      </c>
      <c r="B170" s="12" t="s">
        <v>182</v>
      </c>
      <c r="C170" s="12"/>
      <c r="D170" s="12"/>
      <c r="E170" s="13">
        <v>23.7</v>
      </c>
      <c r="F170" s="263">
        <v>16</v>
      </c>
      <c r="G170" s="13">
        <v>1.873</v>
      </c>
      <c r="H170" s="13">
        <v>10.909000000000001</v>
      </c>
      <c r="I170" s="13">
        <v>46.029000000000003</v>
      </c>
      <c r="J170" s="13">
        <v>68.180999999999997</v>
      </c>
    </row>
    <row r="171" spans="1:10" ht="45" x14ac:dyDescent="0.2">
      <c r="A171" s="11" t="s">
        <v>184</v>
      </c>
      <c r="B171" s="12" t="s">
        <v>185</v>
      </c>
      <c r="C171" s="12"/>
      <c r="D171" s="12"/>
      <c r="E171" s="13">
        <v>23.7</v>
      </c>
      <c r="F171" s="263">
        <v>16</v>
      </c>
      <c r="G171" s="13">
        <v>1.873</v>
      </c>
      <c r="H171" s="13">
        <v>10.909000000000001</v>
      </c>
      <c r="I171" s="13">
        <v>46.029000000000003</v>
      </c>
      <c r="J171" s="13">
        <v>68.180999999999997</v>
      </c>
    </row>
    <row r="172" spans="1:10" ht="45" x14ac:dyDescent="0.2">
      <c r="A172" s="15" t="s">
        <v>184</v>
      </c>
      <c r="B172" s="16" t="s">
        <v>186</v>
      </c>
      <c r="C172" s="16" t="s">
        <v>23</v>
      </c>
      <c r="D172" s="16" t="s">
        <v>24</v>
      </c>
      <c r="E172" s="17">
        <v>23.7</v>
      </c>
      <c r="F172" s="264">
        <v>16</v>
      </c>
      <c r="G172" s="17">
        <v>1.873</v>
      </c>
      <c r="H172" s="17">
        <v>10.909000000000001</v>
      </c>
      <c r="I172" s="17">
        <v>46.029000000000003</v>
      </c>
      <c r="J172" s="17">
        <v>68.180999999999997</v>
      </c>
    </row>
    <row r="173" spans="1:10" ht="22.5" x14ac:dyDescent="0.2">
      <c r="A173" s="11" t="s">
        <v>187</v>
      </c>
      <c r="B173" s="12" t="s">
        <v>188</v>
      </c>
      <c r="C173" s="12"/>
      <c r="D173" s="12"/>
      <c r="E173" s="13">
        <v>576.1</v>
      </c>
      <c r="F173" s="263">
        <v>590</v>
      </c>
      <c r="G173" s="13">
        <v>66.356999999999999</v>
      </c>
      <c r="H173" s="13">
        <v>556.35500000000002</v>
      </c>
      <c r="I173" s="13">
        <v>96.572999999999993</v>
      </c>
      <c r="J173" s="13">
        <v>94.298000000000002</v>
      </c>
    </row>
    <row r="174" spans="1:10" x14ac:dyDescent="0.2">
      <c r="A174" s="11" t="s">
        <v>717</v>
      </c>
      <c r="B174" s="12" t="s">
        <v>718</v>
      </c>
      <c r="C174" s="12"/>
      <c r="D174" s="12"/>
      <c r="E174" s="13">
        <v>521.1</v>
      </c>
      <c r="F174" s="263">
        <v>580</v>
      </c>
      <c r="G174" s="13">
        <v>66.356999999999999</v>
      </c>
      <c r="H174" s="13">
        <v>555.88099999999997</v>
      </c>
      <c r="I174" s="13">
        <v>106.675</v>
      </c>
      <c r="J174" s="13">
        <v>95.841999999999999</v>
      </c>
    </row>
    <row r="175" spans="1:10" ht="45" x14ac:dyDescent="0.2">
      <c r="A175" s="11" t="s">
        <v>719</v>
      </c>
      <c r="B175" s="12" t="s">
        <v>720</v>
      </c>
      <c r="C175" s="12"/>
      <c r="D175" s="12"/>
      <c r="E175" s="13">
        <v>521.1</v>
      </c>
      <c r="F175" s="263">
        <v>580</v>
      </c>
      <c r="G175" s="13">
        <v>66.356999999999999</v>
      </c>
      <c r="H175" s="13">
        <v>555.88099999999997</v>
      </c>
      <c r="I175" s="13">
        <v>106.675</v>
      </c>
      <c r="J175" s="13">
        <v>95.841999999999999</v>
      </c>
    </row>
    <row r="176" spans="1:10" ht="45" x14ac:dyDescent="0.2">
      <c r="A176" s="15" t="s">
        <v>719</v>
      </c>
      <c r="B176" s="16" t="s">
        <v>721</v>
      </c>
      <c r="C176" s="16" t="s">
        <v>23</v>
      </c>
      <c r="D176" s="16" t="s">
        <v>24</v>
      </c>
      <c r="E176" s="17">
        <v>521.1</v>
      </c>
      <c r="F176" s="264">
        <v>580</v>
      </c>
      <c r="G176" s="17">
        <v>66.356999999999999</v>
      </c>
      <c r="H176" s="17">
        <v>555.88099999999997</v>
      </c>
      <c r="I176" s="17">
        <v>106.675</v>
      </c>
      <c r="J176" s="17">
        <v>95.841999999999999</v>
      </c>
    </row>
    <row r="177" spans="1:11" ht="22.5" x14ac:dyDescent="0.2">
      <c r="A177" s="11" t="s">
        <v>722</v>
      </c>
      <c r="B177" s="12" t="s">
        <v>723</v>
      </c>
      <c r="C177" s="12"/>
      <c r="D177" s="12"/>
      <c r="E177" s="13">
        <v>55</v>
      </c>
      <c r="F177" s="263">
        <v>10</v>
      </c>
      <c r="G177" s="13"/>
      <c r="H177" s="13">
        <v>0.47399999999999998</v>
      </c>
      <c r="I177" s="13">
        <v>0.86199999999999999</v>
      </c>
      <c r="J177" s="13">
        <v>4.742</v>
      </c>
    </row>
    <row r="178" spans="1:11" ht="45" x14ac:dyDescent="0.2">
      <c r="A178" s="11" t="s">
        <v>724</v>
      </c>
      <c r="B178" s="12" t="s">
        <v>725</v>
      </c>
      <c r="C178" s="12"/>
      <c r="D178" s="12"/>
      <c r="E178" s="13">
        <v>55</v>
      </c>
      <c r="F178" s="263">
        <v>10</v>
      </c>
      <c r="G178" s="13"/>
      <c r="H178" s="13">
        <v>0.47399999999999998</v>
      </c>
      <c r="I178" s="13">
        <v>0.86199999999999999</v>
      </c>
      <c r="J178" s="13">
        <v>4.742</v>
      </c>
    </row>
    <row r="179" spans="1:11" ht="45" x14ac:dyDescent="0.2">
      <c r="A179" s="15" t="s">
        <v>724</v>
      </c>
      <c r="B179" s="16" t="s">
        <v>726</v>
      </c>
      <c r="C179" s="16" t="s">
        <v>23</v>
      </c>
      <c r="D179" s="16" t="s">
        <v>24</v>
      </c>
      <c r="E179" s="17">
        <v>55</v>
      </c>
      <c r="F179" s="264">
        <v>10</v>
      </c>
      <c r="G179" s="17"/>
      <c r="H179" s="17">
        <v>0.47399999999999998</v>
      </c>
      <c r="I179" s="17">
        <v>0.86199999999999999</v>
      </c>
      <c r="J179" s="17">
        <v>4.742</v>
      </c>
    </row>
    <row r="180" spans="1:11" ht="37.5" customHeight="1" x14ac:dyDescent="0.2">
      <c r="A180" s="161" t="s">
        <v>917</v>
      </c>
      <c r="B180" s="162" t="s">
        <v>191</v>
      </c>
      <c r="C180" s="162"/>
      <c r="D180" s="162"/>
      <c r="E180" s="66">
        <v>53550</v>
      </c>
      <c r="F180" s="263">
        <v>62783.082000000002</v>
      </c>
      <c r="G180" s="163">
        <v>7790.8370000000004</v>
      </c>
      <c r="H180" s="66">
        <v>52869.686000000002</v>
      </c>
      <c r="I180" s="66">
        <v>98.73</v>
      </c>
      <c r="J180" s="66">
        <v>84.21</v>
      </c>
    </row>
    <row r="181" spans="1:11" x14ac:dyDescent="0.2">
      <c r="A181" s="11" t="s">
        <v>192</v>
      </c>
      <c r="B181" s="12" t="s">
        <v>193</v>
      </c>
      <c r="C181" s="12"/>
      <c r="D181" s="12"/>
      <c r="E181" s="13">
        <v>53550</v>
      </c>
      <c r="F181" s="263">
        <v>59321.796000000002</v>
      </c>
      <c r="G181" s="13">
        <v>6175.0469999999996</v>
      </c>
      <c r="H181" s="13">
        <v>47795.233</v>
      </c>
      <c r="I181" s="13">
        <v>89.254000000000005</v>
      </c>
      <c r="J181" s="13">
        <v>80.569000000000003</v>
      </c>
    </row>
    <row r="182" spans="1:11" x14ac:dyDescent="0.2">
      <c r="A182" s="11" t="s">
        <v>194</v>
      </c>
      <c r="B182" s="12" t="s">
        <v>195</v>
      </c>
      <c r="C182" s="12"/>
      <c r="D182" s="12"/>
      <c r="E182" s="13">
        <v>53550</v>
      </c>
      <c r="F182" s="263">
        <v>59321.796000000002</v>
      </c>
      <c r="G182" s="13">
        <v>6175.0469999999996</v>
      </c>
      <c r="H182" s="13">
        <v>47795.233</v>
      </c>
      <c r="I182" s="13">
        <v>89.254000000000005</v>
      </c>
      <c r="J182" s="13">
        <v>80.569000000000003</v>
      </c>
    </row>
    <row r="183" spans="1:11" ht="33.75" x14ac:dyDescent="0.2">
      <c r="A183" s="11" t="s">
        <v>196</v>
      </c>
      <c r="B183" s="12" t="s">
        <v>197</v>
      </c>
      <c r="C183" s="12"/>
      <c r="D183" s="12"/>
      <c r="E183" s="13">
        <v>53550</v>
      </c>
      <c r="F183" s="263">
        <v>59321.796000000002</v>
      </c>
      <c r="G183" s="13">
        <v>6175.0469999999996</v>
      </c>
      <c r="H183" s="13">
        <v>47795.233</v>
      </c>
      <c r="I183" s="13">
        <v>89.254000000000005</v>
      </c>
      <c r="J183" s="13">
        <v>80.569000000000003</v>
      </c>
    </row>
    <row r="184" spans="1:11" ht="33.75" x14ac:dyDescent="0.2">
      <c r="A184" s="164" t="s">
        <v>196</v>
      </c>
      <c r="B184" s="165" t="s">
        <v>198</v>
      </c>
      <c r="C184" s="165" t="s">
        <v>23</v>
      </c>
      <c r="D184" s="165" t="s">
        <v>24</v>
      </c>
      <c r="E184" s="106">
        <v>100</v>
      </c>
      <c r="F184" s="263">
        <v>113</v>
      </c>
      <c r="G184" s="163">
        <v>7.843</v>
      </c>
      <c r="H184" s="106">
        <v>98.483000000000004</v>
      </c>
      <c r="I184" s="106">
        <v>98.483000000000004</v>
      </c>
      <c r="J184" s="106">
        <v>87.153000000000006</v>
      </c>
    </row>
    <row r="185" spans="1:11" ht="45" x14ac:dyDescent="0.2">
      <c r="A185" s="11" t="s">
        <v>199</v>
      </c>
      <c r="B185" s="12" t="s">
        <v>200</v>
      </c>
      <c r="C185" s="12"/>
      <c r="D185" s="12"/>
      <c r="E185" s="13">
        <v>53450</v>
      </c>
      <c r="F185" s="263">
        <v>58425.5</v>
      </c>
      <c r="G185" s="13">
        <v>6167.2039999999997</v>
      </c>
      <c r="H185" s="13">
        <v>46913.453999999998</v>
      </c>
      <c r="I185" s="13">
        <v>87.771000000000001</v>
      </c>
      <c r="J185" s="13">
        <v>80.296000000000006</v>
      </c>
    </row>
    <row r="186" spans="1:11" ht="54" customHeight="1" x14ac:dyDescent="0.2">
      <c r="A186" s="164" t="s">
        <v>199</v>
      </c>
      <c r="B186" s="165" t="s">
        <v>201</v>
      </c>
      <c r="C186" s="165" t="s">
        <v>23</v>
      </c>
      <c r="D186" s="165" t="s">
        <v>24</v>
      </c>
      <c r="E186" s="106">
        <v>53450</v>
      </c>
      <c r="F186" s="263">
        <v>58425.5</v>
      </c>
      <c r="G186" s="163">
        <v>6167.2039999999997</v>
      </c>
      <c r="H186" s="106">
        <v>46913.453999999998</v>
      </c>
      <c r="I186" s="106">
        <v>87.771000000000001</v>
      </c>
      <c r="J186" s="106">
        <v>80.296000000000006</v>
      </c>
      <c r="K186" s="67">
        <f>F186+F188</f>
        <v>59208.796000000002</v>
      </c>
    </row>
    <row r="187" spans="1:11" ht="67.5" x14ac:dyDescent="0.2">
      <c r="A187" s="11" t="s">
        <v>202</v>
      </c>
      <c r="B187" s="12" t="s">
        <v>203</v>
      </c>
      <c r="C187" s="12"/>
      <c r="D187" s="12"/>
      <c r="E187" s="13"/>
      <c r="F187" s="263">
        <v>783.29600000000005</v>
      </c>
      <c r="G187" s="13"/>
      <c r="H187" s="13">
        <v>783.29600000000005</v>
      </c>
      <c r="I187" s="13"/>
      <c r="J187" s="13">
        <v>100</v>
      </c>
    </row>
    <row r="188" spans="1:11" ht="54" customHeight="1" x14ac:dyDescent="0.2">
      <c r="A188" s="164" t="s">
        <v>202</v>
      </c>
      <c r="B188" s="165" t="s">
        <v>204</v>
      </c>
      <c r="C188" s="165" t="s">
        <v>23</v>
      </c>
      <c r="D188" s="165" t="s">
        <v>24</v>
      </c>
      <c r="E188" s="106"/>
      <c r="F188" s="263">
        <v>783.29600000000005</v>
      </c>
      <c r="G188" s="163"/>
      <c r="H188" s="106">
        <v>783.29600000000005</v>
      </c>
      <c r="I188" s="106"/>
      <c r="J188" s="106">
        <v>100</v>
      </c>
    </row>
    <row r="189" spans="1:11" x14ac:dyDescent="0.2">
      <c r="A189" s="11" t="s">
        <v>205</v>
      </c>
      <c r="B189" s="12" t="s">
        <v>206</v>
      </c>
      <c r="C189" s="12"/>
      <c r="D189" s="12"/>
      <c r="E189" s="13"/>
      <c r="F189" s="263">
        <v>3461.2860000000001</v>
      </c>
      <c r="G189" s="13">
        <v>1615.7909999999999</v>
      </c>
      <c r="H189" s="13">
        <v>5074.4530000000004</v>
      </c>
      <c r="I189" s="13"/>
      <c r="J189" s="13">
        <v>146.60599999999999</v>
      </c>
    </row>
    <row r="190" spans="1:11" x14ac:dyDescent="0.2">
      <c r="A190" s="11" t="s">
        <v>207</v>
      </c>
      <c r="B190" s="12" t="s">
        <v>208</v>
      </c>
      <c r="C190" s="12"/>
      <c r="D190" s="12"/>
      <c r="E190" s="13"/>
      <c r="F190" s="263">
        <v>3461.2860000000001</v>
      </c>
      <c r="G190" s="13">
        <v>1615.7909999999999</v>
      </c>
      <c r="H190" s="13">
        <v>5074.4530000000004</v>
      </c>
      <c r="I190" s="13"/>
      <c r="J190" s="13">
        <v>146.60599999999999</v>
      </c>
    </row>
    <row r="191" spans="1:11" ht="22.5" x14ac:dyDescent="0.2">
      <c r="A191" s="11" t="s">
        <v>209</v>
      </c>
      <c r="B191" s="12" t="s">
        <v>210</v>
      </c>
      <c r="C191" s="12"/>
      <c r="D191" s="12"/>
      <c r="E191" s="13"/>
      <c r="F191" s="263">
        <v>3461.2860000000001</v>
      </c>
      <c r="G191" s="13">
        <v>1615.7909999999999</v>
      </c>
      <c r="H191" s="13">
        <v>5074.4530000000004</v>
      </c>
      <c r="I191" s="13"/>
      <c r="J191" s="13">
        <v>146.60599999999999</v>
      </c>
    </row>
    <row r="192" spans="1:11" ht="33.75" x14ac:dyDescent="0.2">
      <c r="A192" s="11" t="s">
        <v>211</v>
      </c>
      <c r="B192" s="12" t="s">
        <v>212</v>
      </c>
      <c r="C192" s="12"/>
      <c r="D192" s="12"/>
      <c r="E192" s="13"/>
      <c r="F192" s="263">
        <v>3461.2860000000001</v>
      </c>
      <c r="G192" s="13">
        <v>1615.7909999999999</v>
      </c>
      <c r="H192" s="13">
        <v>5074.4530000000004</v>
      </c>
      <c r="I192" s="13"/>
      <c r="J192" s="13">
        <v>146.60599999999999</v>
      </c>
    </row>
    <row r="193" spans="1:11" ht="33" customHeight="1" x14ac:dyDescent="0.2">
      <c r="A193" s="164" t="s">
        <v>211</v>
      </c>
      <c r="B193" s="165" t="s">
        <v>556</v>
      </c>
      <c r="C193" s="165" t="s">
        <v>23</v>
      </c>
      <c r="D193" s="165" t="s">
        <v>24</v>
      </c>
      <c r="E193" s="106"/>
      <c r="F193" s="263">
        <v>316.42599999999999</v>
      </c>
      <c r="G193" s="163">
        <v>3</v>
      </c>
      <c r="H193" s="106">
        <v>316.80200000000002</v>
      </c>
      <c r="I193" s="106"/>
      <c r="J193" s="106">
        <v>100.119</v>
      </c>
    </row>
    <row r="194" spans="1:11" ht="33" customHeight="1" x14ac:dyDescent="0.2">
      <c r="A194" s="164" t="s">
        <v>211</v>
      </c>
      <c r="B194" s="165" t="s">
        <v>213</v>
      </c>
      <c r="C194" s="165" t="s">
        <v>23</v>
      </c>
      <c r="D194" s="165" t="s">
        <v>24</v>
      </c>
      <c r="E194" s="106"/>
      <c r="F194" s="263">
        <v>2544.0639999999999</v>
      </c>
      <c r="G194" s="163">
        <v>1612.7909999999999</v>
      </c>
      <c r="H194" s="106">
        <v>4156.8540000000003</v>
      </c>
      <c r="I194" s="106"/>
      <c r="J194" s="106">
        <v>163.39400000000001</v>
      </c>
    </row>
    <row r="195" spans="1:11" ht="33" customHeight="1" x14ac:dyDescent="0.2">
      <c r="A195" s="164" t="s">
        <v>211</v>
      </c>
      <c r="B195" s="165" t="s">
        <v>728</v>
      </c>
      <c r="C195" s="165" t="s">
        <v>23</v>
      </c>
      <c r="D195" s="165" t="s">
        <v>24</v>
      </c>
      <c r="E195" s="106"/>
      <c r="F195" s="263">
        <v>403.24900000000002</v>
      </c>
      <c r="G195" s="163"/>
      <c r="H195" s="106">
        <v>403.24900000000002</v>
      </c>
      <c r="I195" s="106"/>
      <c r="J195" s="106">
        <v>100</v>
      </c>
    </row>
    <row r="196" spans="1:11" ht="33" customHeight="1" x14ac:dyDescent="0.2">
      <c r="A196" s="164" t="s">
        <v>211</v>
      </c>
      <c r="B196" s="165" t="s">
        <v>853</v>
      </c>
      <c r="C196" s="165" t="s">
        <v>23</v>
      </c>
      <c r="D196" s="165" t="s">
        <v>24</v>
      </c>
      <c r="E196" s="106"/>
      <c r="F196" s="263">
        <v>23.952000000000002</v>
      </c>
      <c r="G196" s="163"/>
      <c r="H196" s="106">
        <v>23.952000000000002</v>
      </c>
      <c r="I196" s="106"/>
      <c r="J196" s="106">
        <v>100</v>
      </c>
    </row>
    <row r="197" spans="1:11" ht="33" customHeight="1" x14ac:dyDescent="0.2">
      <c r="A197" s="164" t="s">
        <v>211</v>
      </c>
      <c r="B197" s="165" t="s">
        <v>729</v>
      </c>
      <c r="C197" s="165" t="s">
        <v>23</v>
      </c>
      <c r="D197" s="165" t="s">
        <v>24</v>
      </c>
      <c r="E197" s="106"/>
      <c r="F197" s="263">
        <v>173.595</v>
      </c>
      <c r="G197" s="163"/>
      <c r="H197" s="106">
        <v>173.595</v>
      </c>
      <c r="I197" s="106"/>
      <c r="J197" s="106">
        <v>100</v>
      </c>
    </row>
    <row r="198" spans="1:11" ht="22.5" x14ac:dyDescent="0.2">
      <c r="A198" s="161" t="s">
        <v>214</v>
      </c>
      <c r="B198" s="162" t="s">
        <v>215</v>
      </c>
      <c r="C198" s="162"/>
      <c r="D198" s="162"/>
      <c r="E198" s="66">
        <v>894</v>
      </c>
      <c r="F198" s="263">
        <v>5413.4920000000002</v>
      </c>
      <c r="G198" s="163">
        <v>227.34299999999999</v>
      </c>
      <c r="H198" s="66">
        <v>5418.0839999999998</v>
      </c>
      <c r="I198" s="66">
        <v>606.04999999999995</v>
      </c>
      <c r="J198" s="66">
        <v>100.08499999999999</v>
      </c>
      <c r="K198" s="67"/>
    </row>
    <row r="199" spans="1:11" ht="67.5" x14ac:dyDescent="0.2">
      <c r="A199" s="164" t="s">
        <v>557</v>
      </c>
      <c r="B199" s="165" t="s">
        <v>558</v>
      </c>
      <c r="C199" s="165"/>
      <c r="D199" s="165"/>
      <c r="E199" s="106"/>
      <c r="F199" s="263">
        <v>72.007000000000005</v>
      </c>
      <c r="G199" s="163"/>
      <c r="H199" s="106">
        <v>72.007000000000005</v>
      </c>
      <c r="I199" s="106"/>
      <c r="J199" s="106">
        <v>100</v>
      </c>
    </row>
    <row r="200" spans="1:11" ht="90" x14ac:dyDescent="0.2">
      <c r="A200" s="14" t="s">
        <v>469</v>
      </c>
      <c r="B200" s="12" t="s">
        <v>559</v>
      </c>
      <c r="C200" s="12"/>
      <c r="D200" s="12"/>
      <c r="E200" s="13"/>
      <c r="F200" s="263">
        <v>72.007000000000005</v>
      </c>
      <c r="G200" s="13"/>
      <c r="H200" s="13">
        <v>72.007000000000005</v>
      </c>
      <c r="I200" s="13"/>
      <c r="J200" s="13">
        <v>100</v>
      </c>
    </row>
    <row r="201" spans="1:11" ht="90" x14ac:dyDescent="0.2">
      <c r="A201" s="14" t="s">
        <v>470</v>
      </c>
      <c r="B201" s="12" t="s">
        <v>471</v>
      </c>
      <c r="C201" s="12"/>
      <c r="D201" s="12"/>
      <c r="E201" s="13"/>
      <c r="F201" s="263">
        <v>72.007000000000005</v>
      </c>
      <c r="G201" s="13"/>
      <c r="H201" s="13">
        <v>72.007000000000005</v>
      </c>
      <c r="I201" s="13"/>
      <c r="J201" s="13">
        <v>100</v>
      </c>
    </row>
    <row r="202" spans="1:11" ht="78.75" x14ac:dyDescent="0.2">
      <c r="A202" s="18" t="s">
        <v>470</v>
      </c>
      <c r="B202" s="16" t="s">
        <v>472</v>
      </c>
      <c r="C202" s="16" t="s">
        <v>23</v>
      </c>
      <c r="D202" s="16" t="s">
        <v>24</v>
      </c>
      <c r="E202" s="17"/>
      <c r="F202" s="264">
        <v>72.007000000000005</v>
      </c>
      <c r="G202" s="17"/>
      <c r="H202" s="17">
        <v>72.007000000000005</v>
      </c>
      <c r="I202" s="17"/>
      <c r="J202" s="17">
        <v>100</v>
      </c>
    </row>
    <row r="203" spans="1:11" ht="48.75" customHeight="1" x14ac:dyDescent="0.2">
      <c r="A203" s="164" t="s">
        <v>216</v>
      </c>
      <c r="B203" s="165" t="s">
        <v>217</v>
      </c>
      <c r="C203" s="165"/>
      <c r="D203" s="165"/>
      <c r="E203" s="106">
        <v>894</v>
      </c>
      <c r="F203" s="263">
        <v>5327.5</v>
      </c>
      <c r="G203" s="163">
        <v>226.452</v>
      </c>
      <c r="H203" s="106">
        <v>5332.0910000000003</v>
      </c>
      <c r="I203" s="106">
        <v>596.43100000000004</v>
      </c>
      <c r="J203" s="106">
        <v>100.086</v>
      </c>
    </row>
    <row r="204" spans="1:11" ht="48.75" customHeight="1" x14ac:dyDescent="0.2">
      <c r="A204" s="164" t="s">
        <v>218</v>
      </c>
      <c r="B204" s="165" t="s">
        <v>219</v>
      </c>
      <c r="C204" s="165"/>
      <c r="D204" s="165"/>
      <c r="E204" s="106">
        <v>894</v>
      </c>
      <c r="F204" s="263">
        <v>4961.5</v>
      </c>
      <c r="G204" s="163">
        <v>226.452</v>
      </c>
      <c r="H204" s="106">
        <v>4966.1099999999997</v>
      </c>
      <c r="I204" s="106">
        <v>555.49300000000005</v>
      </c>
      <c r="J204" s="106">
        <v>100.093</v>
      </c>
    </row>
    <row r="205" spans="1:11" ht="56.25" x14ac:dyDescent="0.2">
      <c r="A205" s="11" t="s">
        <v>731</v>
      </c>
      <c r="B205" s="12" t="s">
        <v>473</v>
      </c>
      <c r="C205" s="12"/>
      <c r="D205" s="12"/>
      <c r="E205" s="13">
        <v>300</v>
      </c>
      <c r="F205" s="263">
        <v>920</v>
      </c>
      <c r="G205" s="13">
        <v>1.3049999999999999</v>
      </c>
      <c r="H205" s="13">
        <v>918.65200000000004</v>
      </c>
      <c r="I205" s="13">
        <v>306.21699999999998</v>
      </c>
      <c r="J205" s="13">
        <v>99.853999999999999</v>
      </c>
    </row>
    <row r="206" spans="1:11" ht="56.25" x14ac:dyDescent="0.2">
      <c r="A206" s="15" t="s">
        <v>731</v>
      </c>
      <c r="B206" s="16" t="s">
        <v>474</v>
      </c>
      <c r="C206" s="16" t="s">
        <v>23</v>
      </c>
      <c r="D206" s="16" t="s">
        <v>24</v>
      </c>
      <c r="E206" s="17">
        <v>300</v>
      </c>
      <c r="F206" s="264">
        <v>920</v>
      </c>
      <c r="G206" s="17">
        <v>1.3049999999999999</v>
      </c>
      <c r="H206" s="17">
        <v>918.65200000000004</v>
      </c>
      <c r="I206" s="17">
        <v>306.21699999999998</v>
      </c>
      <c r="J206" s="17">
        <v>99.853999999999999</v>
      </c>
    </row>
    <row r="207" spans="1:11" ht="45" x14ac:dyDescent="0.2">
      <c r="A207" s="11" t="s">
        <v>220</v>
      </c>
      <c r="B207" s="12" t="s">
        <v>221</v>
      </c>
      <c r="C207" s="12"/>
      <c r="D207" s="12"/>
      <c r="E207" s="13">
        <v>594</v>
      </c>
      <c r="F207" s="263">
        <v>4041.5</v>
      </c>
      <c r="G207" s="13">
        <v>225.14699999999999</v>
      </c>
      <c r="H207" s="13">
        <v>4047.4580000000001</v>
      </c>
      <c r="I207" s="13">
        <v>681.39</v>
      </c>
      <c r="J207" s="13">
        <v>100.14700000000001</v>
      </c>
    </row>
    <row r="208" spans="1:11" ht="45" x14ac:dyDescent="0.2">
      <c r="A208" s="15" t="s">
        <v>220</v>
      </c>
      <c r="B208" s="16" t="s">
        <v>222</v>
      </c>
      <c r="C208" s="16" t="s">
        <v>23</v>
      </c>
      <c r="D208" s="16" t="s">
        <v>24</v>
      </c>
      <c r="E208" s="17">
        <v>294</v>
      </c>
      <c r="F208" s="264">
        <v>2626.5</v>
      </c>
      <c r="G208" s="17">
        <v>73.325999999999993</v>
      </c>
      <c r="H208" s="17">
        <v>2675.01</v>
      </c>
      <c r="I208" s="17">
        <v>909.86699999999996</v>
      </c>
      <c r="J208" s="17">
        <v>101.84699999999999</v>
      </c>
    </row>
    <row r="209" spans="1:10" ht="45" x14ac:dyDescent="0.2">
      <c r="A209" s="15" t="s">
        <v>220</v>
      </c>
      <c r="B209" s="16" t="s">
        <v>223</v>
      </c>
      <c r="C209" s="16" t="s">
        <v>23</v>
      </c>
      <c r="D209" s="16" t="s">
        <v>24</v>
      </c>
      <c r="E209" s="17">
        <v>300</v>
      </c>
      <c r="F209" s="264">
        <v>1415</v>
      </c>
      <c r="G209" s="17">
        <v>151.822</v>
      </c>
      <c r="H209" s="17">
        <v>1372.4490000000001</v>
      </c>
      <c r="I209" s="17">
        <v>457.483</v>
      </c>
      <c r="J209" s="17">
        <v>96.992999999999995</v>
      </c>
    </row>
    <row r="210" spans="1:10" ht="48.75" customHeight="1" x14ac:dyDescent="0.2">
      <c r="A210" s="164" t="s">
        <v>918</v>
      </c>
      <c r="B210" s="165" t="s">
        <v>919</v>
      </c>
      <c r="C210" s="165"/>
      <c r="D210" s="165"/>
      <c r="E210" s="106"/>
      <c r="F210" s="263">
        <v>366</v>
      </c>
      <c r="G210" s="163"/>
      <c r="H210" s="106">
        <v>365.98099999999999</v>
      </c>
      <c r="I210" s="106"/>
      <c r="J210" s="106">
        <v>99.995000000000005</v>
      </c>
    </row>
    <row r="211" spans="1:10" ht="56.25" x14ac:dyDescent="0.2">
      <c r="A211" s="11" t="s">
        <v>920</v>
      </c>
      <c r="B211" s="12" t="s">
        <v>921</v>
      </c>
      <c r="C211" s="12"/>
      <c r="D211" s="12"/>
      <c r="E211" s="13"/>
      <c r="F211" s="263">
        <v>366</v>
      </c>
      <c r="G211" s="13"/>
      <c r="H211" s="13">
        <v>365.98099999999999</v>
      </c>
      <c r="I211" s="13"/>
      <c r="J211" s="13">
        <v>99.995000000000005</v>
      </c>
    </row>
    <row r="212" spans="1:10" ht="45" x14ac:dyDescent="0.2">
      <c r="A212" s="15" t="s">
        <v>920</v>
      </c>
      <c r="B212" s="16" t="s">
        <v>922</v>
      </c>
      <c r="C212" s="16" t="s">
        <v>23</v>
      </c>
      <c r="D212" s="16" t="s">
        <v>24</v>
      </c>
      <c r="E212" s="17"/>
      <c r="F212" s="264">
        <v>366</v>
      </c>
      <c r="G212" s="17"/>
      <c r="H212" s="17">
        <v>365.98099999999999</v>
      </c>
      <c r="I212" s="17"/>
      <c r="J212" s="17">
        <v>99.995000000000005</v>
      </c>
    </row>
    <row r="213" spans="1:10" ht="71.25" customHeight="1" x14ac:dyDescent="0.2">
      <c r="A213" s="164" t="s">
        <v>560</v>
      </c>
      <c r="B213" s="165" t="s">
        <v>561</v>
      </c>
      <c r="C213" s="165"/>
      <c r="D213" s="165"/>
      <c r="E213" s="106"/>
      <c r="F213" s="263">
        <v>13.984999999999999</v>
      </c>
      <c r="G213" s="163">
        <v>0.89100000000000001</v>
      </c>
      <c r="H213" s="106">
        <v>13.986000000000001</v>
      </c>
      <c r="I213" s="106"/>
      <c r="J213" s="106">
        <v>100.006</v>
      </c>
    </row>
    <row r="214" spans="1:10" ht="56.25" x14ac:dyDescent="0.2">
      <c r="A214" s="11" t="s">
        <v>562</v>
      </c>
      <c r="B214" s="12" t="s">
        <v>563</v>
      </c>
      <c r="C214" s="12"/>
      <c r="D214" s="12"/>
      <c r="E214" s="13"/>
      <c r="F214" s="263">
        <v>13.984999999999999</v>
      </c>
      <c r="G214" s="13">
        <v>0.89100000000000001</v>
      </c>
      <c r="H214" s="13">
        <v>13.986000000000001</v>
      </c>
      <c r="I214" s="13"/>
      <c r="J214" s="13">
        <v>100.006</v>
      </c>
    </row>
    <row r="215" spans="1:10" s="205" customFormat="1" ht="83.25" customHeight="1" x14ac:dyDescent="0.2">
      <c r="A215" s="203" t="s">
        <v>1077</v>
      </c>
      <c r="B215" s="105" t="s">
        <v>1078</v>
      </c>
      <c r="C215" s="105"/>
      <c r="D215" s="105"/>
      <c r="E215" s="204"/>
      <c r="F215" s="263">
        <v>0.89</v>
      </c>
      <c r="G215" s="204">
        <v>0.89100000000000001</v>
      </c>
      <c r="H215" s="204">
        <v>0.89100000000000001</v>
      </c>
      <c r="I215" s="204"/>
      <c r="J215" s="204">
        <v>100.101</v>
      </c>
    </row>
    <row r="216" spans="1:10" s="205" customFormat="1" ht="78.75" x14ac:dyDescent="0.2">
      <c r="A216" s="250" t="s">
        <v>1077</v>
      </c>
      <c r="B216" s="251" t="s">
        <v>1079</v>
      </c>
      <c r="C216" s="251" t="s">
        <v>23</v>
      </c>
      <c r="D216" s="251" t="s">
        <v>24</v>
      </c>
      <c r="E216" s="252"/>
      <c r="F216" s="264">
        <v>0.89</v>
      </c>
      <c r="G216" s="252">
        <v>0.89100000000000001</v>
      </c>
      <c r="H216" s="252">
        <v>0.89100000000000001</v>
      </c>
      <c r="I216" s="252"/>
      <c r="J216" s="252">
        <v>100.101</v>
      </c>
    </row>
    <row r="217" spans="1:10" s="205" customFormat="1" ht="83.25" customHeight="1" x14ac:dyDescent="0.2">
      <c r="A217" s="203" t="s">
        <v>564</v>
      </c>
      <c r="B217" s="105" t="s">
        <v>565</v>
      </c>
      <c r="C217" s="105"/>
      <c r="D217" s="105"/>
      <c r="E217" s="204"/>
      <c r="F217" s="263">
        <v>13.095000000000001</v>
      </c>
      <c r="G217" s="204"/>
      <c r="H217" s="204">
        <v>13.095000000000001</v>
      </c>
      <c r="I217" s="204"/>
      <c r="J217" s="204">
        <v>100</v>
      </c>
    </row>
    <row r="218" spans="1:10" ht="67.5" x14ac:dyDescent="0.2">
      <c r="A218" s="18" t="s">
        <v>564</v>
      </c>
      <c r="B218" s="16" t="s">
        <v>566</v>
      </c>
      <c r="C218" s="16" t="s">
        <v>23</v>
      </c>
      <c r="D218" s="16" t="s">
        <v>24</v>
      </c>
      <c r="E218" s="17"/>
      <c r="F218" s="264">
        <v>13.095000000000001</v>
      </c>
      <c r="G218" s="17"/>
      <c r="H218" s="17">
        <v>13.095000000000001</v>
      </c>
      <c r="I218" s="17"/>
      <c r="J218" s="17">
        <v>100</v>
      </c>
    </row>
    <row r="219" spans="1:10" ht="30.75" customHeight="1" x14ac:dyDescent="0.2">
      <c r="A219" s="161" t="s">
        <v>224</v>
      </c>
      <c r="B219" s="162" t="s">
        <v>225</v>
      </c>
      <c r="C219" s="162"/>
      <c r="D219" s="162"/>
      <c r="E219" s="66">
        <v>4684.3</v>
      </c>
      <c r="F219" s="263">
        <v>8403</v>
      </c>
      <c r="G219" s="163">
        <v>1972.999</v>
      </c>
      <c r="H219" s="66">
        <v>8047.24</v>
      </c>
      <c r="I219" s="66">
        <v>171.792</v>
      </c>
      <c r="J219" s="66">
        <v>95.766000000000005</v>
      </c>
    </row>
    <row r="220" spans="1:10" ht="22.5" x14ac:dyDescent="0.2">
      <c r="A220" s="11" t="s">
        <v>226</v>
      </c>
      <c r="B220" s="12" t="s">
        <v>227</v>
      </c>
      <c r="C220" s="12"/>
      <c r="D220" s="12"/>
      <c r="E220" s="13">
        <v>267</v>
      </c>
      <c r="F220" s="263">
        <v>270</v>
      </c>
      <c r="G220" s="13">
        <v>5.0940000000000003</v>
      </c>
      <c r="H220" s="13">
        <v>164.089</v>
      </c>
      <c r="I220" s="13">
        <v>61.457000000000001</v>
      </c>
      <c r="J220" s="13">
        <v>60.774000000000001</v>
      </c>
    </row>
    <row r="221" spans="1:10" ht="67.5" x14ac:dyDescent="0.2">
      <c r="A221" s="14" t="s">
        <v>568</v>
      </c>
      <c r="B221" s="12" t="s">
        <v>229</v>
      </c>
      <c r="C221" s="12"/>
      <c r="D221" s="12"/>
      <c r="E221" s="13">
        <v>253</v>
      </c>
      <c r="F221" s="263">
        <v>240</v>
      </c>
      <c r="G221" s="13">
        <v>3.7440000000000002</v>
      </c>
      <c r="H221" s="13">
        <v>137.75299999999999</v>
      </c>
      <c r="I221" s="13">
        <v>54.448</v>
      </c>
      <c r="J221" s="13">
        <v>57.396999999999998</v>
      </c>
    </row>
    <row r="222" spans="1:10" ht="67.5" x14ac:dyDescent="0.2">
      <c r="A222" s="14" t="s">
        <v>923</v>
      </c>
      <c r="B222" s="12" t="s">
        <v>231</v>
      </c>
      <c r="C222" s="12"/>
      <c r="D222" s="12"/>
      <c r="E222" s="13">
        <v>253</v>
      </c>
      <c r="F222" s="263">
        <v>240</v>
      </c>
      <c r="G222" s="13">
        <v>3.7440000000000002</v>
      </c>
      <c r="H222" s="13">
        <v>137.75299999999999</v>
      </c>
      <c r="I222" s="13">
        <v>54.448</v>
      </c>
      <c r="J222" s="13">
        <v>57.396999999999998</v>
      </c>
    </row>
    <row r="223" spans="1:10" ht="67.5" x14ac:dyDescent="0.2">
      <c r="A223" s="18" t="s">
        <v>923</v>
      </c>
      <c r="B223" s="16" t="s">
        <v>232</v>
      </c>
      <c r="C223" s="16" t="s">
        <v>23</v>
      </c>
      <c r="D223" s="16" t="s">
        <v>24</v>
      </c>
      <c r="E223" s="17">
        <v>253</v>
      </c>
      <c r="F223" s="264">
        <v>240</v>
      </c>
      <c r="G223" s="17">
        <v>3.7440000000000002</v>
      </c>
      <c r="H223" s="17">
        <v>137.75299999999999</v>
      </c>
      <c r="I223" s="17">
        <v>54.448</v>
      </c>
      <c r="J223" s="17">
        <v>57.396999999999998</v>
      </c>
    </row>
    <row r="224" spans="1:10" ht="56.25" x14ac:dyDescent="0.2">
      <c r="A224" s="11" t="s">
        <v>233</v>
      </c>
      <c r="B224" s="12" t="s">
        <v>234</v>
      </c>
      <c r="C224" s="12"/>
      <c r="D224" s="12"/>
      <c r="E224" s="13">
        <v>14</v>
      </c>
      <c r="F224" s="263">
        <v>30</v>
      </c>
      <c r="G224" s="13">
        <v>1.35</v>
      </c>
      <c r="H224" s="13">
        <v>26.335999999999999</v>
      </c>
      <c r="I224" s="13">
        <v>188.11500000000001</v>
      </c>
      <c r="J224" s="13">
        <v>87.787000000000006</v>
      </c>
    </row>
    <row r="225" spans="1:10" ht="90" x14ac:dyDescent="0.2">
      <c r="A225" s="14" t="s">
        <v>236</v>
      </c>
      <c r="B225" s="12" t="s">
        <v>237</v>
      </c>
      <c r="C225" s="12"/>
      <c r="D225" s="12"/>
      <c r="E225" s="13">
        <v>14</v>
      </c>
      <c r="F225" s="263">
        <v>30</v>
      </c>
      <c r="G225" s="13">
        <v>1.35</v>
      </c>
      <c r="H225" s="13">
        <v>26.335999999999999</v>
      </c>
      <c r="I225" s="13">
        <v>188.11500000000001</v>
      </c>
      <c r="J225" s="13">
        <v>87.787000000000006</v>
      </c>
    </row>
    <row r="226" spans="1:10" ht="78.75" x14ac:dyDescent="0.2">
      <c r="A226" s="18" t="s">
        <v>236</v>
      </c>
      <c r="B226" s="16" t="s">
        <v>238</v>
      </c>
      <c r="C226" s="16" t="s">
        <v>23</v>
      </c>
      <c r="D226" s="16" t="s">
        <v>24</v>
      </c>
      <c r="E226" s="17">
        <v>14</v>
      </c>
      <c r="F226" s="264">
        <v>30</v>
      </c>
      <c r="G226" s="17">
        <v>1.35</v>
      </c>
      <c r="H226" s="17">
        <v>26.335999999999999</v>
      </c>
      <c r="I226" s="17">
        <v>188.11500000000001</v>
      </c>
      <c r="J226" s="17">
        <v>87.787000000000006</v>
      </c>
    </row>
    <row r="227" spans="1:10" ht="56.25" x14ac:dyDescent="0.2">
      <c r="A227" s="11" t="s">
        <v>239</v>
      </c>
      <c r="B227" s="12" t="s">
        <v>240</v>
      </c>
      <c r="C227" s="12"/>
      <c r="D227" s="12"/>
      <c r="E227" s="13">
        <v>2.2999999999999998</v>
      </c>
      <c r="F227" s="263">
        <v>1.5</v>
      </c>
      <c r="G227" s="13"/>
      <c r="H227" s="13">
        <v>1.5</v>
      </c>
      <c r="I227" s="13">
        <v>65.216999999999999</v>
      </c>
      <c r="J227" s="13">
        <v>100</v>
      </c>
    </row>
    <row r="228" spans="1:10" ht="90" x14ac:dyDescent="0.2">
      <c r="A228" s="14" t="s">
        <v>242</v>
      </c>
      <c r="B228" s="12" t="s">
        <v>243</v>
      </c>
      <c r="C228" s="12"/>
      <c r="D228" s="12"/>
      <c r="E228" s="13">
        <v>2.2999999999999998</v>
      </c>
      <c r="F228" s="263">
        <v>1.5</v>
      </c>
      <c r="G228" s="13"/>
      <c r="H228" s="13">
        <v>1.5</v>
      </c>
      <c r="I228" s="13">
        <v>65.216999999999999</v>
      </c>
      <c r="J228" s="13">
        <v>100</v>
      </c>
    </row>
    <row r="229" spans="1:10" ht="78.75" x14ac:dyDescent="0.2">
      <c r="A229" s="18" t="s">
        <v>242</v>
      </c>
      <c r="B229" s="16" t="s">
        <v>244</v>
      </c>
      <c r="C229" s="16" t="s">
        <v>23</v>
      </c>
      <c r="D229" s="16" t="s">
        <v>24</v>
      </c>
      <c r="E229" s="17">
        <v>2.2999999999999998</v>
      </c>
      <c r="F229" s="264">
        <v>1.5</v>
      </c>
      <c r="G229" s="17"/>
      <c r="H229" s="17">
        <v>1.5</v>
      </c>
      <c r="I229" s="17">
        <v>65.216999999999999</v>
      </c>
      <c r="J229" s="17">
        <v>100</v>
      </c>
    </row>
    <row r="230" spans="1:10" ht="56.25" x14ac:dyDescent="0.2">
      <c r="A230" s="11" t="s">
        <v>245</v>
      </c>
      <c r="B230" s="12" t="s">
        <v>246</v>
      </c>
      <c r="C230" s="12"/>
      <c r="D230" s="12"/>
      <c r="E230" s="13">
        <v>232.3</v>
      </c>
      <c r="F230" s="263">
        <v>42.7</v>
      </c>
      <c r="G230" s="13"/>
      <c r="H230" s="13">
        <v>32</v>
      </c>
      <c r="I230" s="13">
        <v>13.775</v>
      </c>
      <c r="J230" s="13">
        <v>74.941999999999993</v>
      </c>
    </row>
    <row r="231" spans="1:10" ht="56.25" x14ac:dyDescent="0.2">
      <c r="A231" s="11" t="s">
        <v>247</v>
      </c>
      <c r="B231" s="12" t="s">
        <v>248</v>
      </c>
      <c r="C231" s="12"/>
      <c r="D231" s="12"/>
      <c r="E231" s="13">
        <v>199</v>
      </c>
      <c r="F231" s="263">
        <v>24</v>
      </c>
      <c r="G231" s="13"/>
      <c r="H231" s="13">
        <v>18</v>
      </c>
      <c r="I231" s="13">
        <v>9.0449999999999999</v>
      </c>
      <c r="J231" s="13">
        <v>75</v>
      </c>
    </row>
    <row r="232" spans="1:10" ht="90" x14ac:dyDescent="0.2">
      <c r="A232" s="14" t="s">
        <v>250</v>
      </c>
      <c r="B232" s="12" t="s">
        <v>251</v>
      </c>
      <c r="C232" s="12"/>
      <c r="D232" s="12"/>
      <c r="E232" s="13">
        <v>199</v>
      </c>
      <c r="F232" s="263">
        <v>24</v>
      </c>
      <c r="G232" s="13"/>
      <c r="H232" s="13">
        <v>18</v>
      </c>
      <c r="I232" s="13">
        <v>9.0449999999999999</v>
      </c>
      <c r="J232" s="13">
        <v>75</v>
      </c>
    </row>
    <row r="233" spans="1:10" ht="78.75" x14ac:dyDescent="0.2">
      <c r="A233" s="18" t="s">
        <v>250</v>
      </c>
      <c r="B233" s="16" t="s">
        <v>855</v>
      </c>
      <c r="C233" s="16" t="s">
        <v>23</v>
      </c>
      <c r="D233" s="16" t="s">
        <v>24</v>
      </c>
      <c r="E233" s="17">
        <v>199</v>
      </c>
      <c r="F233" s="264">
        <v>24</v>
      </c>
      <c r="G233" s="17"/>
      <c r="H233" s="17">
        <v>18</v>
      </c>
      <c r="I233" s="17">
        <v>9.0449999999999999</v>
      </c>
      <c r="J233" s="17">
        <v>75</v>
      </c>
    </row>
    <row r="234" spans="1:10" ht="45" x14ac:dyDescent="0.2">
      <c r="A234" s="11" t="s">
        <v>252</v>
      </c>
      <c r="B234" s="12" t="s">
        <v>856</v>
      </c>
      <c r="C234" s="12"/>
      <c r="D234" s="12"/>
      <c r="E234" s="13">
        <v>33.299999999999997</v>
      </c>
      <c r="F234" s="263">
        <v>18.7</v>
      </c>
      <c r="G234" s="13"/>
      <c r="H234" s="13">
        <v>14</v>
      </c>
      <c r="I234" s="13">
        <v>42.042000000000002</v>
      </c>
      <c r="J234" s="13">
        <v>74.866</v>
      </c>
    </row>
    <row r="235" spans="1:10" ht="78.75" x14ac:dyDescent="0.2">
      <c r="A235" s="14" t="s">
        <v>569</v>
      </c>
      <c r="B235" s="12" t="s">
        <v>570</v>
      </c>
      <c r="C235" s="12"/>
      <c r="D235" s="12"/>
      <c r="E235" s="13">
        <v>33.299999999999997</v>
      </c>
      <c r="F235" s="263">
        <v>18.7</v>
      </c>
      <c r="G235" s="13"/>
      <c r="H235" s="13">
        <v>14</v>
      </c>
      <c r="I235" s="13">
        <v>42.042000000000002</v>
      </c>
      <c r="J235" s="13">
        <v>74.866</v>
      </c>
    </row>
    <row r="236" spans="1:10" ht="67.5" x14ac:dyDescent="0.2">
      <c r="A236" s="18" t="s">
        <v>569</v>
      </c>
      <c r="B236" s="16" t="s">
        <v>732</v>
      </c>
      <c r="C236" s="16" t="s">
        <v>23</v>
      </c>
      <c r="D236" s="16" t="s">
        <v>24</v>
      </c>
      <c r="E236" s="17">
        <v>33.299999999999997</v>
      </c>
      <c r="F236" s="264">
        <v>18.7</v>
      </c>
      <c r="G236" s="17"/>
      <c r="H236" s="17">
        <v>14</v>
      </c>
      <c r="I236" s="17">
        <v>42.042000000000002</v>
      </c>
      <c r="J236" s="17">
        <v>74.866</v>
      </c>
    </row>
    <row r="237" spans="1:10" ht="101.25" x14ac:dyDescent="0.2">
      <c r="A237" s="14" t="s">
        <v>259</v>
      </c>
      <c r="B237" s="12" t="s">
        <v>260</v>
      </c>
      <c r="C237" s="12"/>
      <c r="D237" s="12"/>
      <c r="E237" s="13">
        <v>197.4</v>
      </c>
      <c r="F237" s="263">
        <v>106.5</v>
      </c>
      <c r="G237" s="13">
        <v>4.16</v>
      </c>
      <c r="H237" s="13">
        <v>85.884</v>
      </c>
      <c r="I237" s="13">
        <v>43.508000000000003</v>
      </c>
      <c r="J237" s="13">
        <v>80.643000000000001</v>
      </c>
    </row>
    <row r="238" spans="1:10" ht="33.75" x14ac:dyDescent="0.2">
      <c r="A238" s="11" t="s">
        <v>261</v>
      </c>
      <c r="B238" s="12" t="s">
        <v>262</v>
      </c>
      <c r="C238" s="12"/>
      <c r="D238" s="12"/>
      <c r="E238" s="13">
        <v>70</v>
      </c>
      <c r="F238" s="263">
        <v>65</v>
      </c>
      <c r="G238" s="13">
        <v>4.16</v>
      </c>
      <c r="H238" s="13">
        <v>54.384</v>
      </c>
      <c r="I238" s="13">
        <v>77.691999999999993</v>
      </c>
      <c r="J238" s="13">
        <v>83.668000000000006</v>
      </c>
    </row>
    <row r="239" spans="1:10" ht="33.75" x14ac:dyDescent="0.2">
      <c r="A239" s="15" t="s">
        <v>261</v>
      </c>
      <c r="B239" s="16" t="s">
        <v>858</v>
      </c>
      <c r="C239" s="16" t="s">
        <v>23</v>
      </c>
      <c r="D239" s="16" t="s">
        <v>24</v>
      </c>
      <c r="E239" s="17"/>
      <c r="F239" s="264">
        <v>65</v>
      </c>
      <c r="G239" s="17">
        <v>4.16</v>
      </c>
      <c r="H239" s="17">
        <v>54.384</v>
      </c>
      <c r="I239" s="17"/>
      <c r="J239" s="17">
        <v>83.668000000000006</v>
      </c>
    </row>
    <row r="240" spans="1:10" ht="67.5" x14ac:dyDescent="0.2">
      <c r="A240" s="11" t="s">
        <v>859</v>
      </c>
      <c r="B240" s="12" t="s">
        <v>860</v>
      </c>
      <c r="C240" s="12"/>
      <c r="D240" s="12"/>
      <c r="E240" s="13">
        <v>70</v>
      </c>
      <c r="F240" s="263"/>
      <c r="G240" s="13"/>
      <c r="H240" s="13"/>
      <c r="I240" s="13"/>
      <c r="J240" s="13"/>
    </row>
    <row r="241" spans="1:10" ht="67.5" x14ac:dyDescent="0.2">
      <c r="A241" s="15" t="s">
        <v>859</v>
      </c>
      <c r="B241" s="16" t="s">
        <v>924</v>
      </c>
      <c r="C241" s="16" t="s">
        <v>23</v>
      </c>
      <c r="D241" s="16" t="s">
        <v>24</v>
      </c>
      <c r="E241" s="17">
        <v>70</v>
      </c>
      <c r="F241" s="264"/>
      <c r="G241" s="17"/>
      <c r="H241" s="17"/>
      <c r="I241" s="17"/>
      <c r="J241" s="17"/>
    </row>
    <row r="242" spans="1:10" ht="33.75" x14ac:dyDescent="0.2">
      <c r="A242" s="11" t="s">
        <v>264</v>
      </c>
      <c r="B242" s="12" t="s">
        <v>265</v>
      </c>
      <c r="C242" s="12"/>
      <c r="D242" s="12"/>
      <c r="E242" s="13">
        <v>47.4</v>
      </c>
      <c r="F242" s="263">
        <v>1.5</v>
      </c>
      <c r="G242" s="13"/>
      <c r="H242" s="13">
        <v>1.5</v>
      </c>
      <c r="I242" s="13">
        <v>3.165</v>
      </c>
      <c r="J242" s="13">
        <v>100</v>
      </c>
    </row>
    <row r="243" spans="1:10" ht="56.25" x14ac:dyDescent="0.2">
      <c r="A243" s="11" t="s">
        <v>267</v>
      </c>
      <c r="B243" s="12" t="s">
        <v>268</v>
      </c>
      <c r="C243" s="12"/>
      <c r="D243" s="12"/>
      <c r="E243" s="13">
        <v>47.4</v>
      </c>
      <c r="F243" s="263">
        <v>1.5</v>
      </c>
      <c r="G243" s="13"/>
      <c r="H243" s="13">
        <v>1.5</v>
      </c>
      <c r="I243" s="13">
        <v>3.165</v>
      </c>
      <c r="J243" s="13">
        <v>100</v>
      </c>
    </row>
    <row r="244" spans="1:10" ht="56.25" x14ac:dyDescent="0.2">
      <c r="A244" s="15" t="s">
        <v>267</v>
      </c>
      <c r="B244" s="16" t="s">
        <v>269</v>
      </c>
      <c r="C244" s="16" t="s">
        <v>23</v>
      </c>
      <c r="D244" s="16" t="s">
        <v>24</v>
      </c>
      <c r="E244" s="17">
        <v>47.4</v>
      </c>
      <c r="F244" s="264">
        <v>1.5</v>
      </c>
      <c r="G244" s="17"/>
      <c r="H244" s="17">
        <v>1.5</v>
      </c>
      <c r="I244" s="17">
        <v>3.165</v>
      </c>
      <c r="J244" s="17">
        <v>100</v>
      </c>
    </row>
    <row r="245" spans="1:10" ht="22.5" x14ac:dyDescent="0.2">
      <c r="A245" s="11" t="s">
        <v>270</v>
      </c>
      <c r="B245" s="12" t="s">
        <v>271</v>
      </c>
      <c r="C245" s="12"/>
      <c r="D245" s="12"/>
      <c r="E245" s="13">
        <v>80</v>
      </c>
      <c r="F245" s="263">
        <v>10</v>
      </c>
      <c r="G245" s="13"/>
      <c r="H245" s="13"/>
      <c r="I245" s="13"/>
      <c r="J245" s="13"/>
    </row>
    <row r="246" spans="1:10" ht="56.25" x14ac:dyDescent="0.2">
      <c r="A246" s="11" t="s">
        <v>273</v>
      </c>
      <c r="B246" s="12" t="s">
        <v>274</v>
      </c>
      <c r="C246" s="12"/>
      <c r="D246" s="12"/>
      <c r="E246" s="13">
        <v>80</v>
      </c>
      <c r="F246" s="263">
        <v>10</v>
      </c>
      <c r="G246" s="13"/>
      <c r="H246" s="13"/>
      <c r="I246" s="13"/>
      <c r="J246" s="13"/>
    </row>
    <row r="247" spans="1:10" ht="56.25" x14ac:dyDescent="0.2">
      <c r="A247" s="15" t="s">
        <v>273</v>
      </c>
      <c r="B247" s="16" t="s">
        <v>862</v>
      </c>
      <c r="C247" s="16" t="s">
        <v>23</v>
      </c>
      <c r="D247" s="16" t="s">
        <v>24</v>
      </c>
      <c r="E247" s="17">
        <v>70</v>
      </c>
      <c r="F247" s="264"/>
      <c r="G247" s="17"/>
      <c r="H247" s="17"/>
      <c r="I247" s="17"/>
      <c r="J247" s="17"/>
    </row>
    <row r="248" spans="1:10" ht="56.25" x14ac:dyDescent="0.2">
      <c r="A248" s="15" t="s">
        <v>273</v>
      </c>
      <c r="B248" s="16" t="s">
        <v>275</v>
      </c>
      <c r="C248" s="16" t="s">
        <v>23</v>
      </c>
      <c r="D248" s="16" t="s">
        <v>24</v>
      </c>
      <c r="E248" s="17">
        <v>10</v>
      </c>
      <c r="F248" s="264">
        <v>10</v>
      </c>
      <c r="G248" s="17"/>
      <c r="H248" s="17"/>
      <c r="I248" s="17"/>
      <c r="J248" s="17"/>
    </row>
    <row r="249" spans="1:10" ht="22.5" x14ac:dyDescent="0.2">
      <c r="A249" s="11" t="s">
        <v>925</v>
      </c>
      <c r="B249" s="12" t="s">
        <v>926</v>
      </c>
      <c r="C249" s="12"/>
      <c r="D249" s="12"/>
      <c r="E249" s="13"/>
      <c r="F249" s="263">
        <v>30</v>
      </c>
      <c r="G249" s="13"/>
      <c r="H249" s="13">
        <v>30</v>
      </c>
      <c r="I249" s="13"/>
      <c r="J249" s="13">
        <v>100</v>
      </c>
    </row>
    <row r="250" spans="1:10" ht="45" x14ac:dyDescent="0.2">
      <c r="A250" s="11" t="s">
        <v>927</v>
      </c>
      <c r="B250" s="12" t="s">
        <v>928</v>
      </c>
      <c r="C250" s="12"/>
      <c r="D250" s="12"/>
      <c r="E250" s="13"/>
      <c r="F250" s="263">
        <v>30</v>
      </c>
      <c r="G250" s="13"/>
      <c r="H250" s="13">
        <v>30</v>
      </c>
      <c r="I250" s="13"/>
      <c r="J250" s="13">
        <v>100</v>
      </c>
    </row>
    <row r="251" spans="1:10" ht="67.5" x14ac:dyDescent="0.2">
      <c r="A251" s="14" t="s">
        <v>929</v>
      </c>
      <c r="B251" s="12" t="s">
        <v>930</v>
      </c>
      <c r="C251" s="12"/>
      <c r="D251" s="12"/>
      <c r="E251" s="13"/>
      <c r="F251" s="263">
        <v>30</v>
      </c>
      <c r="G251" s="13"/>
      <c r="H251" s="13">
        <v>30</v>
      </c>
      <c r="I251" s="13"/>
      <c r="J251" s="13">
        <v>100</v>
      </c>
    </row>
    <row r="252" spans="1:10" ht="67.5" x14ac:dyDescent="0.2">
      <c r="A252" s="18" t="s">
        <v>929</v>
      </c>
      <c r="B252" s="16" t="s">
        <v>931</v>
      </c>
      <c r="C252" s="16" t="s">
        <v>23</v>
      </c>
      <c r="D252" s="16" t="s">
        <v>24</v>
      </c>
      <c r="E252" s="17"/>
      <c r="F252" s="264">
        <v>30</v>
      </c>
      <c r="G252" s="17"/>
      <c r="H252" s="17">
        <v>30</v>
      </c>
      <c r="I252" s="17"/>
      <c r="J252" s="17">
        <v>100</v>
      </c>
    </row>
    <row r="253" spans="1:10" ht="56.25" x14ac:dyDescent="0.2">
      <c r="A253" s="11" t="s">
        <v>276</v>
      </c>
      <c r="B253" s="12" t="s">
        <v>277</v>
      </c>
      <c r="C253" s="12"/>
      <c r="D253" s="12"/>
      <c r="E253" s="13">
        <v>631.20000000000005</v>
      </c>
      <c r="F253" s="263">
        <v>1044.5999999999999</v>
      </c>
      <c r="G253" s="13">
        <v>50.533000000000001</v>
      </c>
      <c r="H253" s="13">
        <v>834.08600000000001</v>
      </c>
      <c r="I253" s="13">
        <v>132.143</v>
      </c>
      <c r="J253" s="13">
        <v>79.846999999999994</v>
      </c>
    </row>
    <row r="254" spans="1:10" ht="90" x14ac:dyDescent="0.2">
      <c r="A254" s="14" t="s">
        <v>280</v>
      </c>
      <c r="B254" s="12" t="s">
        <v>281</v>
      </c>
      <c r="C254" s="12"/>
      <c r="D254" s="12"/>
      <c r="E254" s="13">
        <v>631.20000000000005</v>
      </c>
      <c r="F254" s="263">
        <v>1044.5999999999999</v>
      </c>
      <c r="G254" s="13">
        <v>50.533000000000001</v>
      </c>
      <c r="H254" s="13">
        <v>834.08600000000001</v>
      </c>
      <c r="I254" s="13">
        <v>132.143</v>
      </c>
      <c r="J254" s="13">
        <v>79.846999999999994</v>
      </c>
    </row>
    <row r="255" spans="1:10" ht="78.75" x14ac:dyDescent="0.2">
      <c r="A255" s="18" t="s">
        <v>280</v>
      </c>
      <c r="B255" s="16" t="s">
        <v>282</v>
      </c>
      <c r="C255" s="16" t="s">
        <v>23</v>
      </c>
      <c r="D255" s="16" t="s">
        <v>24</v>
      </c>
      <c r="E255" s="17">
        <v>614.20000000000005</v>
      </c>
      <c r="F255" s="264">
        <v>976.1</v>
      </c>
      <c r="G255" s="17">
        <v>45</v>
      </c>
      <c r="H255" s="17">
        <v>777.10500000000002</v>
      </c>
      <c r="I255" s="17">
        <v>126.523</v>
      </c>
      <c r="J255" s="17">
        <v>79.613</v>
      </c>
    </row>
    <row r="256" spans="1:10" ht="78.75" x14ac:dyDescent="0.2">
      <c r="A256" s="18" t="s">
        <v>280</v>
      </c>
      <c r="B256" s="16" t="s">
        <v>932</v>
      </c>
      <c r="C256" s="16" t="s">
        <v>23</v>
      </c>
      <c r="D256" s="16" t="s">
        <v>24</v>
      </c>
      <c r="E256" s="17"/>
      <c r="F256" s="264">
        <v>0.5</v>
      </c>
      <c r="G256" s="17"/>
      <c r="H256" s="17">
        <v>0.5</v>
      </c>
      <c r="I256" s="17"/>
      <c r="J256" s="17">
        <v>100</v>
      </c>
    </row>
    <row r="257" spans="1:10" ht="78.75" x14ac:dyDescent="0.2">
      <c r="A257" s="18" t="s">
        <v>280</v>
      </c>
      <c r="B257" s="16" t="s">
        <v>283</v>
      </c>
      <c r="C257" s="16" t="s">
        <v>23</v>
      </c>
      <c r="D257" s="16" t="s">
        <v>24</v>
      </c>
      <c r="E257" s="17">
        <v>17</v>
      </c>
      <c r="F257" s="264">
        <v>68</v>
      </c>
      <c r="G257" s="17">
        <v>5.5330000000000004</v>
      </c>
      <c r="H257" s="17">
        <v>56.481999999999999</v>
      </c>
      <c r="I257" s="17">
        <v>332.24400000000003</v>
      </c>
      <c r="J257" s="17">
        <v>83.061000000000007</v>
      </c>
    </row>
    <row r="258" spans="1:10" ht="22.5" x14ac:dyDescent="0.2">
      <c r="A258" s="11" t="s">
        <v>284</v>
      </c>
      <c r="B258" s="12" t="s">
        <v>285</v>
      </c>
      <c r="C258" s="12"/>
      <c r="D258" s="12"/>
      <c r="E258" s="13">
        <v>185.3</v>
      </c>
      <c r="F258" s="263">
        <v>515.29999999999995</v>
      </c>
      <c r="G258" s="13">
        <v>4.3550000000000004</v>
      </c>
      <c r="H258" s="13">
        <v>397.84699999999998</v>
      </c>
      <c r="I258" s="13">
        <v>214.70400000000001</v>
      </c>
      <c r="J258" s="13">
        <v>77.206999999999994</v>
      </c>
    </row>
    <row r="259" spans="1:10" ht="45" x14ac:dyDescent="0.2">
      <c r="A259" s="11" t="s">
        <v>286</v>
      </c>
      <c r="B259" s="12" t="s">
        <v>287</v>
      </c>
      <c r="C259" s="12"/>
      <c r="D259" s="12"/>
      <c r="E259" s="13">
        <v>15.3</v>
      </c>
      <c r="F259" s="263">
        <v>28</v>
      </c>
      <c r="G259" s="13"/>
      <c r="H259" s="13">
        <v>28</v>
      </c>
      <c r="I259" s="13">
        <v>183.00700000000001</v>
      </c>
      <c r="J259" s="13">
        <v>100</v>
      </c>
    </row>
    <row r="260" spans="1:10" ht="56.25" x14ac:dyDescent="0.2">
      <c r="A260" s="11" t="s">
        <v>288</v>
      </c>
      <c r="B260" s="12" t="s">
        <v>289</v>
      </c>
      <c r="C260" s="12"/>
      <c r="D260" s="12"/>
      <c r="E260" s="13">
        <v>15.3</v>
      </c>
      <c r="F260" s="263">
        <v>28</v>
      </c>
      <c r="G260" s="13"/>
      <c r="H260" s="13">
        <v>28</v>
      </c>
      <c r="I260" s="13">
        <v>183.00700000000001</v>
      </c>
      <c r="J260" s="13">
        <v>100</v>
      </c>
    </row>
    <row r="261" spans="1:10" ht="90" x14ac:dyDescent="0.2">
      <c r="A261" s="14" t="s">
        <v>291</v>
      </c>
      <c r="B261" s="12" t="s">
        <v>292</v>
      </c>
      <c r="C261" s="12"/>
      <c r="D261" s="12"/>
      <c r="E261" s="13">
        <v>15.3</v>
      </c>
      <c r="F261" s="263">
        <v>28</v>
      </c>
      <c r="G261" s="13"/>
      <c r="H261" s="13">
        <v>28</v>
      </c>
      <c r="I261" s="13">
        <v>183.00700000000001</v>
      </c>
      <c r="J261" s="13">
        <v>100</v>
      </c>
    </row>
    <row r="262" spans="1:10" ht="78.75" x14ac:dyDescent="0.2">
      <c r="A262" s="18" t="s">
        <v>291</v>
      </c>
      <c r="B262" s="16" t="s">
        <v>293</v>
      </c>
      <c r="C262" s="16" t="s">
        <v>23</v>
      </c>
      <c r="D262" s="16" t="s">
        <v>24</v>
      </c>
      <c r="E262" s="17">
        <v>15.3</v>
      </c>
      <c r="F262" s="264">
        <v>28</v>
      </c>
      <c r="G262" s="17"/>
      <c r="H262" s="17">
        <v>28</v>
      </c>
      <c r="I262" s="17">
        <v>183.00700000000001</v>
      </c>
      <c r="J262" s="17">
        <v>100</v>
      </c>
    </row>
    <row r="263" spans="1:10" ht="22.5" x14ac:dyDescent="0.2">
      <c r="A263" s="11" t="s">
        <v>294</v>
      </c>
      <c r="B263" s="12" t="s">
        <v>295</v>
      </c>
      <c r="C263" s="12"/>
      <c r="D263" s="12"/>
      <c r="E263" s="13">
        <v>170</v>
      </c>
      <c r="F263" s="263">
        <v>487.3</v>
      </c>
      <c r="G263" s="13">
        <v>4.3550000000000004</v>
      </c>
      <c r="H263" s="13">
        <v>369.84699999999998</v>
      </c>
      <c r="I263" s="13">
        <v>217.55699999999999</v>
      </c>
      <c r="J263" s="13">
        <v>75.897000000000006</v>
      </c>
    </row>
    <row r="264" spans="1:10" ht="56.25" x14ac:dyDescent="0.2">
      <c r="A264" s="11" t="s">
        <v>297</v>
      </c>
      <c r="B264" s="12" t="s">
        <v>298</v>
      </c>
      <c r="C264" s="12"/>
      <c r="D264" s="12"/>
      <c r="E264" s="13">
        <v>170</v>
      </c>
      <c r="F264" s="263">
        <v>487.3</v>
      </c>
      <c r="G264" s="13">
        <v>4.3550000000000004</v>
      </c>
      <c r="H264" s="13">
        <v>369.84699999999998</v>
      </c>
      <c r="I264" s="13">
        <v>217.55699999999999</v>
      </c>
      <c r="J264" s="13">
        <v>75.897000000000006</v>
      </c>
    </row>
    <row r="265" spans="1:10" ht="56.25" x14ac:dyDescent="0.2">
      <c r="A265" s="15" t="s">
        <v>297</v>
      </c>
      <c r="B265" s="16" t="s">
        <v>299</v>
      </c>
      <c r="C265" s="16" t="s">
        <v>23</v>
      </c>
      <c r="D265" s="16" t="s">
        <v>24</v>
      </c>
      <c r="E265" s="17">
        <v>170</v>
      </c>
      <c r="F265" s="264">
        <v>487.3</v>
      </c>
      <c r="G265" s="17">
        <v>4.3550000000000004</v>
      </c>
      <c r="H265" s="17">
        <v>369.84699999999998</v>
      </c>
      <c r="I265" s="17">
        <v>217.55699999999999</v>
      </c>
      <c r="J265" s="17">
        <v>75.897000000000006</v>
      </c>
    </row>
    <row r="266" spans="1:10" ht="56.25" x14ac:dyDescent="0.2">
      <c r="A266" s="11" t="s">
        <v>300</v>
      </c>
      <c r="B266" s="12" t="s">
        <v>301</v>
      </c>
      <c r="C266" s="12"/>
      <c r="D266" s="12"/>
      <c r="E266" s="13">
        <v>31.3</v>
      </c>
      <c r="F266" s="263">
        <v>31.3</v>
      </c>
      <c r="G266" s="13">
        <v>123.417</v>
      </c>
      <c r="H266" s="13">
        <v>123.417</v>
      </c>
      <c r="I266" s="13">
        <v>394.30200000000002</v>
      </c>
      <c r="J266" s="13">
        <v>394.30200000000002</v>
      </c>
    </row>
    <row r="267" spans="1:10" ht="67.5" x14ac:dyDescent="0.2">
      <c r="A267" s="11" t="s">
        <v>302</v>
      </c>
      <c r="B267" s="12" t="s">
        <v>303</v>
      </c>
      <c r="C267" s="12"/>
      <c r="D267" s="12"/>
      <c r="E267" s="13">
        <v>31.3</v>
      </c>
      <c r="F267" s="263">
        <v>31.3</v>
      </c>
      <c r="G267" s="13">
        <v>123.417</v>
      </c>
      <c r="H267" s="13">
        <v>123.417</v>
      </c>
      <c r="I267" s="13">
        <v>394.30200000000002</v>
      </c>
      <c r="J267" s="13">
        <v>394.30200000000002</v>
      </c>
    </row>
    <row r="268" spans="1:10" ht="56.25" x14ac:dyDescent="0.2">
      <c r="A268" s="15" t="s">
        <v>302</v>
      </c>
      <c r="B268" s="16" t="s">
        <v>304</v>
      </c>
      <c r="C268" s="16" t="s">
        <v>23</v>
      </c>
      <c r="D268" s="16" t="s">
        <v>24</v>
      </c>
      <c r="E268" s="17">
        <v>31.3</v>
      </c>
      <c r="F268" s="264">
        <v>31.3</v>
      </c>
      <c r="G268" s="17"/>
      <c r="H268" s="17"/>
      <c r="I268" s="17"/>
      <c r="J268" s="17"/>
    </row>
    <row r="269" spans="1:10" ht="56.25" x14ac:dyDescent="0.2">
      <c r="A269" s="15" t="s">
        <v>302</v>
      </c>
      <c r="B269" s="16" t="s">
        <v>733</v>
      </c>
      <c r="C269" s="16" t="s">
        <v>23</v>
      </c>
      <c r="D269" s="16" t="s">
        <v>24</v>
      </c>
      <c r="E269" s="17"/>
      <c r="F269" s="264"/>
      <c r="G269" s="17">
        <v>120.417</v>
      </c>
      <c r="H269" s="17">
        <v>120.417</v>
      </c>
      <c r="I269" s="17"/>
      <c r="J269" s="17"/>
    </row>
    <row r="270" spans="1:10" ht="90" x14ac:dyDescent="0.2">
      <c r="A270" s="14" t="s">
        <v>1080</v>
      </c>
      <c r="B270" s="12" t="s">
        <v>1081</v>
      </c>
      <c r="C270" s="12"/>
      <c r="D270" s="12"/>
      <c r="E270" s="13"/>
      <c r="F270" s="263"/>
      <c r="G270" s="13">
        <v>3</v>
      </c>
      <c r="H270" s="13">
        <v>3</v>
      </c>
      <c r="I270" s="13"/>
      <c r="J270" s="13"/>
    </row>
    <row r="271" spans="1:10" ht="90" x14ac:dyDescent="0.2">
      <c r="A271" s="18" t="s">
        <v>1080</v>
      </c>
      <c r="B271" s="16" t="s">
        <v>1082</v>
      </c>
      <c r="C271" s="16" t="s">
        <v>23</v>
      </c>
      <c r="D271" s="16" t="s">
        <v>24</v>
      </c>
      <c r="E271" s="17"/>
      <c r="F271" s="264"/>
      <c r="G271" s="17">
        <v>3</v>
      </c>
      <c r="H271" s="17">
        <v>3</v>
      </c>
      <c r="I271" s="17"/>
      <c r="J271" s="17"/>
    </row>
    <row r="272" spans="1:10" ht="22.5" x14ac:dyDescent="0.2">
      <c r="A272" s="11" t="s">
        <v>305</v>
      </c>
      <c r="B272" s="12" t="s">
        <v>306</v>
      </c>
      <c r="C272" s="12"/>
      <c r="D272" s="12"/>
      <c r="E272" s="13">
        <v>20</v>
      </c>
      <c r="F272" s="263">
        <v>229.4</v>
      </c>
      <c r="G272" s="13">
        <v>6.875</v>
      </c>
      <c r="H272" s="13">
        <v>226.22499999999999</v>
      </c>
      <c r="I272" s="13">
        <v>1131.125</v>
      </c>
      <c r="J272" s="13">
        <v>98.616</v>
      </c>
    </row>
    <row r="273" spans="1:11" ht="33.75" x14ac:dyDescent="0.2">
      <c r="A273" s="11" t="s">
        <v>307</v>
      </c>
      <c r="B273" s="12" t="s">
        <v>308</v>
      </c>
      <c r="C273" s="12"/>
      <c r="D273" s="12"/>
      <c r="E273" s="13">
        <v>20</v>
      </c>
      <c r="F273" s="263">
        <v>229.4</v>
      </c>
      <c r="G273" s="13">
        <v>6.875</v>
      </c>
      <c r="H273" s="13">
        <v>226.22499999999999</v>
      </c>
      <c r="I273" s="13">
        <v>1131.125</v>
      </c>
      <c r="J273" s="13">
        <v>98.616</v>
      </c>
    </row>
    <row r="274" spans="1:11" ht="33.75" x14ac:dyDescent="0.2">
      <c r="A274" s="15" t="s">
        <v>307</v>
      </c>
      <c r="B274" s="16" t="s">
        <v>933</v>
      </c>
      <c r="C274" s="16" t="s">
        <v>23</v>
      </c>
      <c r="D274" s="16" t="s">
        <v>24</v>
      </c>
      <c r="E274" s="17"/>
      <c r="F274" s="264">
        <v>0.4</v>
      </c>
      <c r="G274" s="17"/>
      <c r="H274" s="17">
        <v>0.4</v>
      </c>
      <c r="I274" s="17"/>
      <c r="J274" s="17">
        <v>100</v>
      </c>
    </row>
    <row r="275" spans="1:11" ht="67.5" x14ac:dyDescent="0.2">
      <c r="A275" s="11" t="s">
        <v>310</v>
      </c>
      <c r="B275" s="12" t="s">
        <v>311</v>
      </c>
      <c r="C275" s="12"/>
      <c r="D275" s="12"/>
      <c r="E275" s="13">
        <v>20</v>
      </c>
      <c r="F275" s="263">
        <v>229</v>
      </c>
      <c r="G275" s="13">
        <v>6.875</v>
      </c>
      <c r="H275" s="13">
        <v>225.82499999999999</v>
      </c>
      <c r="I275" s="13">
        <v>1129.125</v>
      </c>
      <c r="J275" s="13">
        <v>98.614000000000004</v>
      </c>
    </row>
    <row r="276" spans="1:11" ht="67.5" x14ac:dyDescent="0.2">
      <c r="A276" s="15" t="s">
        <v>310</v>
      </c>
      <c r="B276" s="16" t="s">
        <v>312</v>
      </c>
      <c r="C276" s="16" t="s">
        <v>23</v>
      </c>
      <c r="D276" s="16" t="s">
        <v>24</v>
      </c>
      <c r="E276" s="17">
        <v>20</v>
      </c>
      <c r="F276" s="264">
        <v>229</v>
      </c>
      <c r="G276" s="17">
        <v>6.875</v>
      </c>
      <c r="H276" s="17">
        <v>225.82499999999999</v>
      </c>
      <c r="I276" s="17">
        <v>1129.125</v>
      </c>
      <c r="J276" s="17">
        <v>98.614000000000004</v>
      </c>
    </row>
    <row r="277" spans="1:11" ht="56.25" x14ac:dyDescent="0.2">
      <c r="A277" s="11" t="s">
        <v>313</v>
      </c>
      <c r="B277" s="12" t="s">
        <v>314</v>
      </c>
      <c r="C277" s="12"/>
      <c r="D277" s="12"/>
      <c r="E277" s="13">
        <v>406.8</v>
      </c>
      <c r="F277" s="263">
        <v>1829.7</v>
      </c>
      <c r="G277" s="13">
        <v>720.67399999999998</v>
      </c>
      <c r="H277" s="13">
        <v>1763.9559999999999</v>
      </c>
      <c r="I277" s="13">
        <v>433.61700000000002</v>
      </c>
      <c r="J277" s="13">
        <v>96.406999999999996</v>
      </c>
    </row>
    <row r="278" spans="1:11" ht="56.25" x14ac:dyDescent="0.2">
      <c r="A278" s="15" t="s">
        <v>313</v>
      </c>
      <c r="B278" s="16" t="s">
        <v>735</v>
      </c>
      <c r="C278" s="16" t="s">
        <v>23</v>
      </c>
      <c r="D278" s="16" t="s">
        <v>24</v>
      </c>
      <c r="E278" s="17"/>
      <c r="F278" s="264">
        <v>1605</v>
      </c>
      <c r="G278" s="17">
        <v>704.90899999999999</v>
      </c>
      <c r="H278" s="17">
        <v>1604.9090000000001</v>
      </c>
      <c r="I278" s="17"/>
      <c r="J278" s="17">
        <v>99.994</v>
      </c>
    </row>
    <row r="279" spans="1:11" ht="90" x14ac:dyDescent="0.2">
      <c r="A279" s="14" t="s">
        <v>315</v>
      </c>
      <c r="B279" s="12" t="s">
        <v>316</v>
      </c>
      <c r="C279" s="12"/>
      <c r="D279" s="12"/>
      <c r="E279" s="13">
        <v>406.8</v>
      </c>
      <c r="F279" s="263">
        <v>224.7</v>
      </c>
      <c r="G279" s="13">
        <v>15.765000000000001</v>
      </c>
      <c r="H279" s="13">
        <v>159.047</v>
      </c>
      <c r="I279" s="13">
        <v>39.097000000000001</v>
      </c>
      <c r="J279" s="13">
        <v>70.781999999999996</v>
      </c>
    </row>
    <row r="280" spans="1:11" ht="90" x14ac:dyDescent="0.2">
      <c r="A280" s="18" t="s">
        <v>315</v>
      </c>
      <c r="B280" s="16" t="s">
        <v>934</v>
      </c>
      <c r="C280" s="16" t="s">
        <v>23</v>
      </c>
      <c r="D280" s="16" t="s">
        <v>24</v>
      </c>
      <c r="E280" s="17"/>
      <c r="F280" s="264">
        <v>15</v>
      </c>
      <c r="G280" s="17"/>
      <c r="H280" s="17">
        <v>15</v>
      </c>
      <c r="I280" s="17"/>
      <c r="J280" s="17">
        <v>100</v>
      </c>
    </row>
    <row r="281" spans="1:11" ht="90" x14ac:dyDescent="0.2">
      <c r="A281" s="18" t="s">
        <v>315</v>
      </c>
      <c r="B281" s="16" t="s">
        <v>736</v>
      </c>
      <c r="C281" s="16" t="s">
        <v>23</v>
      </c>
      <c r="D281" s="16" t="s">
        <v>24</v>
      </c>
      <c r="E281" s="17">
        <v>38.4</v>
      </c>
      <c r="F281" s="264">
        <v>38.4</v>
      </c>
      <c r="G281" s="17"/>
      <c r="H281" s="17"/>
      <c r="I281" s="17"/>
      <c r="J281" s="17"/>
    </row>
    <row r="282" spans="1:11" ht="90" x14ac:dyDescent="0.2">
      <c r="A282" s="18" t="s">
        <v>315</v>
      </c>
      <c r="B282" s="16" t="s">
        <v>317</v>
      </c>
      <c r="C282" s="16" t="s">
        <v>23</v>
      </c>
      <c r="D282" s="16" t="s">
        <v>24</v>
      </c>
      <c r="E282" s="17">
        <v>160</v>
      </c>
      <c r="F282" s="264">
        <v>171.3</v>
      </c>
      <c r="G282" s="17">
        <v>15.765000000000001</v>
      </c>
      <c r="H282" s="17">
        <v>144.047</v>
      </c>
      <c r="I282" s="17">
        <v>90.028999999999996</v>
      </c>
      <c r="J282" s="17">
        <v>84.09</v>
      </c>
    </row>
    <row r="283" spans="1:11" ht="90" x14ac:dyDescent="0.2">
      <c r="A283" s="18" t="s">
        <v>315</v>
      </c>
      <c r="B283" s="16" t="s">
        <v>935</v>
      </c>
      <c r="C283" s="16" t="s">
        <v>23</v>
      </c>
      <c r="D283" s="16" t="s">
        <v>24</v>
      </c>
      <c r="E283" s="17">
        <v>208.4</v>
      </c>
      <c r="F283" s="264"/>
      <c r="G283" s="17"/>
      <c r="H283" s="17"/>
      <c r="I283" s="17"/>
      <c r="J283" s="17"/>
    </row>
    <row r="284" spans="1:11" ht="22.5" x14ac:dyDescent="0.2">
      <c r="A284" s="11" t="s">
        <v>318</v>
      </c>
      <c r="B284" s="12" t="s">
        <v>319</v>
      </c>
      <c r="C284" s="12"/>
      <c r="D284" s="12"/>
      <c r="E284" s="13">
        <v>2710.7</v>
      </c>
      <c r="F284" s="263">
        <v>4332</v>
      </c>
      <c r="G284" s="13">
        <v>1057.8910000000001</v>
      </c>
      <c r="H284" s="13">
        <v>4418.2359999999999</v>
      </c>
      <c r="I284" s="13">
        <v>162.99199999999999</v>
      </c>
      <c r="J284" s="13">
        <v>101.991</v>
      </c>
    </row>
    <row r="285" spans="1:11" ht="33.75" x14ac:dyDescent="0.2">
      <c r="A285" s="11" t="s">
        <v>320</v>
      </c>
      <c r="B285" s="12" t="s">
        <v>321</v>
      </c>
      <c r="C285" s="12"/>
      <c r="D285" s="12"/>
      <c r="E285" s="13">
        <v>2710.7</v>
      </c>
      <c r="F285" s="266">
        <v>4332</v>
      </c>
      <c r="G285" s="13">
        <v>1057.8910000000001</v>
      </c>
      <c r="H285" s="13">
        <v>4418.2359999999999</v>
      </c>
      <c r="I285" s="13">
        <v>162.99199999999999</v>
      </c>
      <c r="J285" s="13">
        <v>101.991</v>
      </c>
      <c r="K285" s="67">
        <f>F286+F287+F288+F289+F290+F293+F294+F295+F296+F297+F298+F300</f>
        <v>4331.9999999999991</v>
      </c>
    </row>
    <row r="286" spans="1:11" ht="33.75" x14ac:dyDescent="0.2">
      <c r="A286" s="15" t="s">
        <v>320</v>
      </c>
      <c r="B286" s="16" t="s">
        <v>326</v>
      </c>
      <c r="C286" s="16" t="s">
        <v>23</v>
      </c>
      <c r="D286" s="16" t="s">
        <v>24</v>
      </c>
      <c r="E286" s="17">
        <v>77</v>
      </c>
      <c r="F286" s="264">
        <v>47.7</v>
      </c>
      <c r="G286" s="17">
        <v>4.0359999999999996</v>
      </c>
      <c r="H286" s="17">
        <v>39.835999999999999</v>
      </c>
      <c r="I286" s="17">
        <v>51.734999999999999</v>
      </c>
      <c r="J286" s="17">
        <v>83.513999999999996</v>
      </c>
    </row>
    <row r="287" spans="1:11" ht="33.75" x14ac:dyDescent="0.2">
      <c r="A287" s="15" t="s">
        <v>320</v>
      </c>
      <c r="B287" s="16" t="s">
        <v>738</v>
      </c>
      <c r="C287" s="16" t="s">
        <v>23</v>
      </c>
      <c r="D287" s="16" t="s">
        <v>24</v>
      </c>
      <c r="E287" s="17">
        <v>52.1</v>
      </c>
      <c r="F287" s="264">
        <v>50</v>
      </c>
      <c r="G287" s="17"/>
      <c r="H287" s="17">
        <v>50</v>
      </c>
      <c r="I287" s="17">
        <v>95.968999999999994</v>
      </c>
      <c r="J287" s="17">
        <v>100</v>
      </c>
    </row>
    <row r="288" spans="1:11" ht="33.75" x14ac:dyDescent="0.2">
      <c r="A288" s="15" t="s">
        <v>320</v>
      </c>
      <c r="B288" s="16" t="s">
        <v>328</v>
      </c>
      <c r="C288" s="16" t="s">
        <v>23</v>
      </c>
      <c r="D288" s="16" t="s">
        <v>24</v>
      </c>
      <c r="E288" s="17">
        <v>18.8</v>
      </c>
      <c r="F288" s="264">
        <v>18.8</v>
      </c>
      <c r="G288" s="17"/>
      <c r="H288" s="17"/>
      <c r="I288" s="17"/>
      <c r="J288" s="17"/>
    </row>
    <row r="289" spans="1:13" ht="33.75" x14ac:dyDescent="0.2">
      <c r="A289" s="15" t="s">
        <v>320</v>
      </c>
      <c r="B289" s="16" t="s">
        <v>739</v>
      </c>
      <c r="C289" s="16" t="s">
        <v>23</v>
      </c>
      <c r="D289" s="16" t="s">
        <v>24</v>
      </c>
      <c r="E289" s="17">
        <v>200</v>
      </c>
      <c r="F289" s="264">
        <v>8</v>
      </c>
      <c r="G289" s="17"/>
      <c r="H289" s="17">
        <v>8</v>
      </c>
      <c r="I289" s="17">
        <v>4</v>
      </c>
      <c r="J289" s="17">
        <v>100</v>
      </c>
    </row>
    <row r="290" spans="1:13" ht="33.75" x14ac:dyDescent="0.2">
      <c r="A290" s="15" t="s">
        <v>320</v>
      </c>
      <c r="B290" s="16" t="s">
        <v>329</v>
      </c>
      <c r="C290" s="16" t="s">
        <v>23</v>
      </c>
      <c r="D290" s="16" t="s">
        <v>24</v>
      </c>
      <c r="E290" s="17">
        <v>626</v>
      </c>
      <c r="F290" s="264">
        <v>1920.7</v>
      </c>
      <c r="G290" s="17">
        <v>124.652</v>
      </c>
      <c r="H290" s="17">
        <v>1704.7</v>
      </c>
      <c r="I290" s="17">
        <v>272.31599999999997</v>
      </c>
      <c r="J290" s="17">
        <v>88.754000000000005</v>
      </c>
    </row>
    <row r="291" spans="1:13" ht="33.75" x14ac:dyDescent="0.2">
      <c r="A291" s="15" t="s">
        <v>320</v>
      </c>
      <c r="B291" s="16" t="s">
        <v>863</v>
      </c>
      <c r="C291" s="16" t="s">
        <v>23</v>
      </c>
      <c r="D291" s="16" t="s">
        <v>24</v>
      </c>
      <c r="E291" s="17"/>
      <c r="F291" s="264"/>
      <c r="G291" s="17">
        <v>592.33600000000001</v>
      </c>
      <c r="H291" s="17">
        <v>592.33600000000001</v>
      </c>
      <c r="I291" s="17"/>
      <c r="J291" s="17"/>
    </row>
    <row r="292" spans="1:13" ht="67.5" x14ac:dyDescent="0.2">
      <c r="A292" s="14" t="s">
        <v>331</v>
      </c>
      <c r="B292" s="12" t="s">
        <v>332</v>
      </c>
      <c r="C292" s="12"/>
      <c r="D292" s="12"/>
      <c r="E292" s="13">
        <v>1689.9</v>
      </c>
      <c r="F292" s="263">
        <v>2239.9</v>
      </c>
      <c r="G292" s="13">
        <v>336.86700000000002</v>
      </c>
      <c r="H292" s="13">
        <v>2023.364</v>
      </c>
      <c r="I292" s="13">
        <v>119.733</v>
      </c>
      <c r="J292" s="13">
        <v>90.332999999999998</v>
      </c>
    </row>
    <row r="293" spans="1:13" ht="67.5" x14ac:dyDescent="0.2">
      <c r="A293" s="18" t="s">
        <v>331</v>
      </c>
      <c r="B293" s="16" t="s">
        <v>333</v>
      </c>
      <c r="C293" s="16" t="s">
        <v>23</v>
      </c>
      <c r="D293" s="16" t="s">
        <v>24</v>
      </c>
      <c r="E293" s="17">
        <v>400</v>
      </c>
      <c r="F293" s="264">
        <v>971.3</v>
      </c>
      <c r="G293" s="17">
        <v>279.08499999999998</v>
      </c>
      <c r="H293" s="17">
        <v>1007.6079999999999</v>
      </c>
      <c r="I293" s="17">
        <v>251.90199999999999</v>
      </c>
      <c r="J293" s="17">
        <v>103.738</v>
      </c>
    </row>
    <row r="294" spans="1:13" ht="67.5" x14ac:dyDescent="0.2">
      <c r="A294" s="18" t="s">
        <v>331</v>
      </c>
      <c r="B294" s="16" t="s">
        <v>334</v>
      </c>
      <c r="C294" s="16" t="s">
        <v>23</v>
      </c>
      <c r="D294" s="16" t="s">
        <v>24</v>
      </c>
      <c r="E294" s="17">
        <v>66.599999999999994</v>
      </c>
      <c r="F294" s="264">
        <v>37.299999999999997</v>
      </c>
      <c r="G294" s="17">
        <v>8</v>
      </c>
      <c r="H294" s="17">
        <v>36</v>
      </c>
      <c r="I294" s="17">
        <v>54.054000000000002</v>
      </c>
      <c r="J294" s="17">
        <v>96.515000000000001</v>
      </c>
    </row>
    <row r="295" spans="1:13" ht="67.5" x14ac:dyDescent="0.2">
      <c r="A295" s="18" t="s">
        <v>331</v>
      </c>
      <c r="B295" s="16" t="s">
        <v>936</v>
      </c>
      <c r="C295" s="16" t="s">
        <v>23</v>
      </c>
      <c r="D295" s="16" t="s">
        <v>24</v>
      </c>
      <c r="E295" s="17"/>
      <c r="F295" s="264">
        <v>40</v>
      </c>
      <c r="G295" s="17">
        <v>2.2999999999999998</v>
      </c>
      <c r="H295" s="17">
        <v>32.28</v>
      </c>
      <c r="I295" s="17"/>
      <c r="J295" s="17">
        <v>80.7</v>
      </c>
    </row>
    <row r="296" spans="1:13" ht="67.5" x14ac:dyDescent="0.2">
      <c r="A296" s="18" t="s">
        <v>331</v>
      </c>
      <c r="B296" s="16" t="s">
        <v>937</v>
      </c>
      <c r="C296" s="16" t="s">
        <v>23</v>
      </c>
      <c r="D296" s="16" t="s">
        <v>24</v>
      </c>
      <c r="E296" s="17"/>
      <c r="F296" s="264">
        <v>1.6</v>
      </c>
      <c r="G296" s="17"/>
      <c r="H296" s="17">
        <v>1.617</v>
      </c>
      <c r="I296" s="17"/>
      <c r="J296" s="17">
        <v>101.063</v>
      </c>
    </row>
    <row r="297" spans="1:13" ht="67.5" x14ac:dyDescent="0.2">
      <c r="A297" s="18" t="s">
        <v>331</v>
      </c>
      <c r="B297" s="16" t="s">
        <v>335</v>
      </c>
      <c r="C297" s="16" t="s">
        <v>23</v>
      </c>
      <c r="D297" s="16" t="s">
        <v>24</v>
      </c>
      <c r="E297" s="17">
        <v>1150</v>
      </c>
      <c r="F297" s="264">
        <v>1132</v>
      </c>
      <c r="G297" s="17">
        <v>20.481999999999999</v>
      </c>
      <c r="H297" s="17">
        <v>875.51099999999997</v>
      </c>
      <c r="I297" s="17">
        <v>76.131</v>
      </c>
      <c r="J297" s="17">
        <v>77.341999999999999</v>
      </c>
    </row>
    <row r="298" spans="1:13" ht="67.5" x14ac:dyDescent="0.2">
      <c r="A298" s="18" t="s">
        <v>331</v>
      </c>
      <c r="B298" s="16" t="s">
        <v>336</v>
      </c>
      <c r="C298" s="16" t="s">
        <v>23</v>
      </c>
      <c r="D298" s="16" t="s">
        <v>24</v>
      </c>
      <c r="E298" s="17">
        <v>73.3</v>
      </c>
      <c r="F298" s="264">
        <v>57.7</v>
      </c>
      <c r="G298" s="17">
        <v>27</v>
      </c>
      <c r="H298" s="17">
        <v>70.347999999999999</v>
      </c>
      <c r="I298" s="17">
        <v>95.972999999999999</v>
      </c>
      <c r="J298" s="17">
        <v>121.92</v>
      </c>
    </row>
    <row r="299" spans="1:13" ht="45" x14ac:dyDescent="0.2">
      <c r="A299" s="11" t="s">
        <v>337</v>
      </c>
      <c r="B299" s="12" t="s">
        <v>338</v>
      </c>
      <c r="C299" s="12"/>
      <c r="D299" s="12"/>
      <c r="E299" s="13">
        <v>46.9</v>
      </c>
      <c r="F299" s="263">
        <v>46.9</v>
      </c>
      <c r="G299" s="13"/>
      <c r="H299" s="13"/>
      <c r="I299" s="13"/>
      <c r="J299" s="13"/>
    </row>
    <row r="300" spans="1:13" ht="45" x14ac:dyDescent="0.2">
      <c r="A300" s="15" t="s">
        <v>337</v>
      </c>
      <c r="B300" s="16" t="s">
        <v>339</v>
      </c>
      <c r="C300" s="16" t="s">
        <v>23</v>
      </c>
      <c r="D300" s="16" t="s">
        <v>24</v>
      </c>
      <c r="E300" s="17">
        <v>46.9</v>
      </c>
      <c r="F300" s="264">
        <v>46.9</v>
      </c>
      <c r="G300" s="17"/>
      <c r="H300" s="17"/>
      <c r="I300" s="17"/>
      <c r="J300" s="17"/>
    </row>
    <row r="301" spans="1:13" ht="30.75" customHeight="1" x14ac:dyDescent="0.2">
      <c r="A301" s="161" t="s">
        <v>340</v>
      </c>
      <c r="B301" s="162" t="s">
        <v>341</v>
      </c>
      <c r="C301" s="162"/>
      <c r="D301" s="162"/>
      <c r="E301" s="66">
        <v>50</v>
      </c>
      <c r="F301" s="263">
        <v>50</v>
      </c>
      <c r="G301" s="163">
        <v>-4.4000000000000004</v>
      </c>
      <c r="H301" s="66">
        <v>180.91800000000001</v>
      </c>
      <c r="I301" s="66">
        <v>361.83699999999999</v>
      </c>
      <c r="J301" s="66">
        <v>361.83699999999999</v>
      </c>
      <c r="K301" s="67"/>
      <c r="L301" s="67"/>
      <c r="M301" s="67"/>
    </row>
    <row r="302" spans="1:13" x14ac:dyDescent="0.2">
      <c r="A302" s="11" t="s">
        <v>571</v>
      </c>
      <c r="B302" s="12" t="s">
        <v>572</v>
      </c>
      <c r="C302" s="12"/>
      <c r="D302" s="12"/>
      <c r="E302" s="13"/>
      <c r="F302" s="263"/>
      <c r="G302" s="13">
        <v>-4.4000000000000004</v>
      </c>
      <c r="H302" s="13">
        <v>26.175000000000001</v>
      </c>
      <c r="I302" s="13"/>
      <c r="J302" s="13"/>
    </row>
    <row r="303" spans="1:13" ht="22.5" x14ac:dyDescent="0.2">
      <c r="A303" s="11" t="s">
        <v>476</v>
      </c>
      <c r="B303" s="12" t="s">
        <v>477</v>
      </c>
      <c r="C303" s="12"/>
      <c r="D303" s="12"/>
      <c r="E303" s="13"/>
      <c r="F303" s="263"/>
      <c r="G303" s="13">
        <v>-4.4000000000000004</v>
      </c>
      <c r="H303" s="13">
        <v>26.175000000000001</v>
      </c>
      <c r="I303" s="13"/>
      <c r="J303" s="13"/>
    </row>
    <row r="304" spans="1:13" ht="22.5" x14ac:dyDescent="0.2">
      <c r="A304" s="15" t="s">
        <v>476</v>
      </c>
      <c r="B304" s="16" t="s">
        <v>938</v>
      </c>
      <c r="C304" s="16" t="s">
        <v>23</v>
      </c>
      <c r="D304" s="16" t="s">
        <v>24</v>
      </c>
      <c r="E304" s="17"/>
      <c r="F304" s="264"/>
      <c r="G304" s="17">
        <v>-4</v>
      </c>
      <c r="H304" s="17"/>
      <c r="I304" s="17"/>
      <c r="J304" s="17"/>
    </row>
    <row r="305" spans="1:14" ht="22.5" x14ac:dyDescent="0.2">
      <c r="A305" s="15" t="s">
        <v>476</v>
      </c>
      <c r="B305" s="16" t="s">
        <v>478</v>
      </c>
      <c r="C305" s="16" t="s">
        <v>23</v>
      </c>
      <c r="D305" s="16" t="s">
        <v>24</v>
      </c>
      <c r="E305" s="17"/>
      <c r="F305" s="264"/>
      <c r="G305" s="17"/>
      <c r="H305" s="17">
        <v>26.274999999999999</v>
      </c>
      <c r="I305" s="17"/>
      <c r="J305" s="17"/>
    </row>
    <row r="306" spans="1:14" ht="22.5" x14ac:dyDescent="0.2">
      <c r="A306" s="15" t="s">
        <v>476</v>
      </c>
      <c r="B306" s="16" t="s">
        <v>479</v>
      </c>
      <c r="C306" s="16" t="s">
        <v>23</v>
      </c>
      <c r="D306" s="16" t="s">
        <v>24</v>
      </c>
      <c r="E306" s="17"/>
      <c r="F306" s="264"/>
      <c r="G306" s="17">
        <v>-0.4</v>
      </c>
      <c r="H306" s="17">
        <v>-0.1</v>
      </c>
      <c r="I306" s="17"/>
      <c r="J306" s="17"/>
    </row>
    <row r="307" spans="1:14" x14ac:dyDescent="0.2">
      <c r="A307" s="11" t="s">
        <v>342</v>
      </c>
      <c r="B307" s="12" t="s">
        <v>343</v>
      </c>
      <c r="C307" s="12"/>
      <c r="D307" s="12"/>
      <c r="E307" s="13">
        <v>50</v>
      </c>
      <c r="F307" s="263">
        <v>50</v>
      </c>
      <c r="G307" s="13"/>
      <c r="H307" s="13">
        <v>154.74299999999999</v>
      </c>
      <c r="I307" s="13">
        <v>309.48700000000002</v>
      </c>
      <c r="J307" s="13">
        <v>309.48700000000002</v>
      </c>
    </row>
    <row r="308" spans="1:14" ht="22.5" x14ac:dyDescent="0.2">
      <c r="A308" s="11" t="s">
        <v>344</v>
      </c>
      <c r="B308" s="12" t="s">
        <v>345</v>
      </c>
      <c r="C308" s="12"/>
      <c r="D308" s="12"/>
      <c r="E308" s="13">
        <v>50</v>
      </c>
      <c r="F308" s="263">
        <v>50</v>
      </c>
      <c r="G308" s="13"/>
      <c r="H308" s="13">
        <v>154.74299999999999</v>
      </c>
      <c r="I308" s="13">
        <v>309.48700000000002</v>
      </c>
      <c r="J308" s="13">
        <v>309.48700000000002</v>
      </c>
    </row>
    <row r="309" spans="1:14" ht="22.5" x14ac:dyDescent="0.2">
      <c r="A309" s="15" t="s">
        <v>344</v>
      </c>
      <c r="B309" s="16" t="s">
        <v>939</v>
      </c>
      <c r="C309" s="16" t="s">
        <v>23</v>
      </c>
      <c r="D309" s="16" t="s">
        <v>24</v>
      </c>
      <c r="E309" s="17"/>
      <c r="F309" s="264"/>
      <c r="G309" s="17"/>
      <c r="H309" s="17">
        <v>124.54300000000001</v>
      </c>
      <c r="I309" s="17"/>
      <c r="J309" s="17"/>
    </row>
    <row r="310" spans="1:14" ht="22.5" x14ac:dyDescent="0.2">
      <c r="A310" s="15" t="s">
        <v>344</v>
      </c>
      <c r="B310" s="16" t="s">
        <v>346</v>
      </c>
      <c r="C310" s="16" t="s">
        <v>23</v>
      </c>
      <c r="D310" s="16" t="s">
        <v>24</v>
      </c>
      <c r="E310" s="17">
        <v>50</v>
      </c>
      <c r="F310" s="264">
        <v>50</v>
      </c>
      <c r="G310" s="17"/>
      <c r="H310" s="17">
        <v>30.2</v>
      </c>
      <c r="I310" s="17">
        <v>60.4</v>
      </c>
      <c r="J310" s="17">
        <v>60.4</v>
      </c>
    </row>
    <row r="311" spans="1:14" ht="24" customHeight="1" x14ac:dyDescent="0.2">
      <c r="A311" s="161" t="s">
        <v>347</v>
      </c>
      <c r="B311" s="162" t="s">
        <v>348</v>
      </c>
      <c r="C311" s="162"/>
      <c r="D311" s="162"/>
      <c r="E311" s="66">
        <v>1461037.439</v>
      </c>
      <c r="F311" s="263">
        <v>1957757.9110000001</v>
      </c>
      <c r="G311" s="163">
        <v>158557.08100000001</v>
      </c>
      <c r="H311" s="66">
        <v>1281677.102</v>
      </c>
      <c r="I311" s="66">
        <v>87.724000000000004</v>
      </c>
      <c r="J311" s="66">
        <v>65.466999999999999</v>
      </c>
      <c r="K311" s="67"/>
      <c r="L311" s="67"/>
    </row>
    <row r="312" spans="1:14" ht="33.75" x14ac:dyDescent="0.2">
      <c r="A312" s="11" t="s">
        <v>349</v>
      </c>
      <c r="B312" s="12" t="s">
        <v>350</v>
      </c>
      <c r="C312" s="12"/>
      <c r="D312" s="12"/>
      <c r="E312" s="13">
        <v>1461037.439</v>
      </c>
      <c r="F312" s="263">
        <v>1961549.669</v>
      </c>
      <c r="G312" s="13">
        <v>157698.05100000001</v>
      </c>
      <c r="H312" s="13">
        <v>1287081.6499999999</v>
      </c>
      <c r="I312" s="13">
        <v>88.093999999999994</v>
      </c>
      <c r="J312" s="13">
        <v>65.616</v>
      </c>
    </row>
    <row r="313" spans="1:14" ht="22.5" x14ac:dyDescent="0.2">
      <c r="A313" s="164" t="s">
        <v>351</v>
      </c>
      <c r="B313" s="165" t="s">
        <v>940</v>
      </c>
      <c r="C313" s="165"/>
      <c r="D313" s="165"/>
      <c r="E313" s="106">
        <v>99366.9</v>
      </c>
      <c r="F313" s="263">
        <v>226447.1</v>
      </c>
      <c r="G313" s="163">
        <v>23500</v>
      </c>
      <c r="H313" s="106">
        <v>185940.9</v>
      </c>
      <c r="I313" s="106">
        <v>187.126</v>
      </c>
      <c r="J313" s="106">
        <v>82.111999999999995</v>
      </c>
      <c r="K313" s="67"/>
      <c r="L313" s="67"/>
      <c r="M313" s="67"/>
      <c r="N313" s="67"/>
    </row>
    <row r="314" spans="1:14" ht="22.5" x14ac:dyDescent="0.2">
      <c r="A314" s="11" t="s">
        <v>741</v>
      </c>
      <c r="B314" s="12" t="s">
        <v>941</v>
      </c>
      <c r="C314" s="12"/>
      <c r="D314" s="12"/>
      <c r="E314" s="13">
        <v>35934</v>
      </c>
      <c r="F314" s="263">
        <v>35934</v>
      </c>
      <c r="G314" s="13"/>
      <c r="H314" s="13">
        <v>34808</v>
      </c>
      <c r="I314" s="13">
        <v>96.867000000000004</v>
      </c>
      <c r="J314" s="13">
        <v>96.867000000000004</v>
      </c>
    </row>
    <row r="315" spans="1:14" ht="22.5" x14ac:dyDescent="0.2">
      <c r="A315" s="11" t="s">
        <v>512</v>
      </c>
      <c r="B315" s="12" t="s">
        <v>942</v>
      </c>
      <c r="C315" s="12"/>
      <c r="D315" s="12"/>
      <c r="E315" s="13">
        <v>35934</v>
      </c>
      <c r="F315" s="263">
        <v>35934</v>
      </c>
      <c r="G315" s="13"/>
      <c r="H315" s="13">
        <v>34808</v>
      </c>
      <c r="I315" s="13">
        <v>96.867000000000004</v>
      </c>
      <c r="J315" s="13">
        <v>96.867000000000004</v>
      </c>
    </row>
    <row r="316" spans="1:14" ht="22.5" x14ac:dyDescent="0.2">
      <c r="A316" s="15" t="s">
        <v>512</v>
      </c>
      <c r="B316" s="16" t="s">
        <v>943</v>
      </c>
      <c r="C316" s="16" t="s">
        <v>23</v>
      </c>
      <c r="D316" s="16" t="s">
        <v>24</v>
      </c>
      <c r="E316" s="17">
        <v>35934</v>
      </c>
      <c r="F316" s="264">
        <v>35934</v>
      </c>
      <c r="G316" s="17"/>
      <c r="H316" s="17">
        <v>34808</v>
      </c>
      <c r="I316" s="17">
        <v>96.867000000000004</v>
      </c>
      <c r="J316" s="17">
        <v>96.867000000000004</v>
      </c>
    </row>
    <row r="317" spans="1:14" ht="22.5" x14ac:dyDescent="0.2">
      <c r="A317" s="11" t="s">
        <v>352</v>
      </c>
      <c r="B317" s="12" t="s">
        <v>944</v>
      </c>
      <c r="C317" s="12"/>
      <c r="D317" s="12"/>
      <c r="E317" s="13">
        <v>63432.9</v>
      </c>
      <c r="F317" s="263">
        <v>190513.1</v>
      </c>
      <c r="G317" s="13">
        <v>23500</v>
      </c>
      <c r="H317" s="13">
        <v>151132.9</v>
      </c>
      <c r="I317" s="13">
        <v>238.256</v>
      </c>
      <c r="J317" s="13">
        <v>79.328999999999994</v>
      </c>
    </row>
    <row r="318" spans="1:14" ht="33.75" x14ac:dyDescent="0.2">
      <c r="A318" s="11" t="s">
        <v>353</v>
      </c>
      <c r="B318" s="12" t="s">
        <v>945</v>
      </c>
      <c r="C318" s="12"/>
      <c r="D318" s="12"/>
      <c r="E318" s="13">
        <v>63432.9</v>
      </c>
      <c r="F318" s="263">
        <v>190513.1</v>
      </c>
      <c r="G318" s="13">
        <v>23500</v>
      </c>
      <c r="H318" s="13">
        <v>151132.9</v>
      </c>
      <c r="I318" s="13">
        <v>238.256</v>
      </c>
      <c r="J318" s="13">
        <v>79.328999999999994</v>
      </c>
    </row>
    <row r="319" spans="1:14" ht="33.75" x14ac:dyDescent="0.2">
      <c r="A319" s="15" t="s">
        <v>353</v>
      </c>
      <c r="B319" s="16" t="s">
        <v>946</v>
      </c>
      <c r="C319" s="16" t="s">
        <v>23</v>
      </c>
      <c r="D319" s="16" t="s">
        <v>24</v>
      </c>
      <c r="E319" s="17">
        <v>63432.9</v>
      </c>
      <c r="F319" s="264">
        <v>190513.1</v>
      </c>
      <c r="G319" s="17">
        <v>23500</v>
      </c>
      <c r="H319" s="17">
        <v>151132.9</v>
      </c>
      <c r="I319" s="17">
        <v>238.256</v>
      </c>
      <c r="J319" s="17">
        <v>79.328999999999994</v>
      </c>
    </row>
    <row r="320" spans="1:14" ht="22.5" x14ac:dyDescent="0.2">
      <c r="A320" s="164" t="s">
        <v>354</v>
      </c>
      <c r="B320" s="165" t="s">
        <v>947</v>
      </c>
      <c r="C320" s="165"/>
      <c r="D320" s="165"/>
      <c r="E320" s="106">
        <v>105214.7</v>
      </c>
      <c r="F320" s="263">
        <v>428348.48300000001</v>
      </c>
      <c r="G320" s="163">
        <v>35542.781000000003</v>
      </c>
      <c r="H320" s="106">
        <v>129425.06200000001</v>
      </c>
      <c r="I320" s="106">
        <v>123.01</v>
      </c>
      <c r="J320" s="106">
        <v>30.215</v>
      </c>
      <c r="K320" s="67"/>
      <c r="L320" s="67"/>
      <c r="M320" s="67"/>
      <c r="N320" s="67"/>
    </row>
    <row r="321" spans="1:10" ht="33.75" x14ac:dyDescent="0.2">
      <c r="A321" s="11" t="s">
        <v>355</v>
      </c>
      <c r="B321" s="12" t="s">
        <v>948</v>
      </c>
      <c r="C321" s="12"/>
      <c r="D321" s="12"/>
      <c r="E321" s="13"/>
      <c r="F321" s="263">
        <v>213898.16</v>
      </c>
      <c r="G321" s="13"/>
      <c r="H321" s="13"/>
      <c r="I321" s="13"/>
      <c r="J321" s="13"/>
    </row>
    <row r="322" spans="1:10" ht="33.75" x14ac:dyDescent="0.2">
      <c r="A322" s="11" t="s">
        <v>578</v>
      </c>
      <c r="B322" s="12" t="s">
        <v>949</v>
      </c>
      <c r="C322" s="12"/>
      <c r="D322" s="12"/>
      <c r="E322" s="13"/>
      <c r="F322" s="263">
        <v>213898.16</v>
      </c>
      <c r="G322" s="13"/>
      <c r="H322" s="13"/>
      <c r="I322" s="13"/>
      <c r="J322" s="13"/>
    </row>
    <row r="323" spans="1:10" ht="33.75" x14ac:dyDescent="0.2">
      <c r="A323" s="15" t="s">
        <v>578</v>
      </c>
      <c r="B323" s="16" t="s">
        <v>950</v>
      </c>
      <c r="C323" s="16" t="s">
        <v>951</v>
      </c>
      <c r="D323" s="16" t="s">
        <v>24</v>
      </c>
      <c r="E323" s="17"/>
      <c r="F323" s="264">
        <v>36899.699999999997</v>
      </c>
      <c r="G323" s="17"/>
      <c r="H323" s="17"/>
      <c r="I323" s="17"/>
      <c r="J323" s="17"/>
    </row>
    <row r="324" spans="1:10" ht="33.75" x14ac:dyDescent="0.2">
      <c r="A324" s="15" t="s">
        <v>578</v>
      </c>
      <c r="B324" s="16" t="s">
        <v>950</v>
      </c>
      <c r="C324" s="16" t="s">
        <v>952</v>
      </c>
      <c r="D324" s="16" t="s">
        <v>24</v>
      </c>
      <c r="E324" s="17"/>
      <c r="F324" s="264">
        <v>522.05999999999995</v>
      </c>
      <c r="G324" s="17"/>
      <c r="H324" s="17"/>
      <c r="I324" s="17"/>
      <c r="J324" s="17"/>
    </row>
    <row r="325" spans="1:10" ht="33.75" x14ac:dyDescent="0.2">
      <c r="A325" s="15" t="s">
        <v>578</v>
      </c>
      <c r="B325" s="16" t="s">
        <v>950</v>
      </c>
      <c r="C325" s="16" t="s">
        <v>953</v>
      </c>
      <c r="D325" s="16" t="s">
        <v>24</v>
      </c>
      <c r="E325" s="17"/>
      <c r="F325" s="264">
        <v>176476.4</v>
      </c>
      <c r="G325" s="17"/>
      <c r="H325" s="17"/>
      <c r="I325" s="17"/>
      <c r="J325" s="17"/>
    </row>
    <row r="326" spans="1:10" ht="22.5" x14ac:dyDescent="0.2">
      <c r="A326" s="11" t="s">
        <v>743</v>
      </c>
      <c r="B326" s="12" t="s">
        <v>954</v>
      </c>
      <c r="C326" s="12"/>
      <c r="D326" s="12"/>
      <c r="E326" s="13"/>
      <c r="F326" s="263">
        <v>8103.2640000000001</v>
      </c>
      <c r="G326" s="13">
        <v>-109.08</v>
      </c>
      <c r="H326" s="13">
        <v>7966.2120000000004</v>
      </c>
      <c r="I326" s="13"/>
      <c r="J326" s="13">
        <v>98.308999999999997</v>
      </c>
    </row>
    <row r="327" spans="1:10" ht="33.75" x14ac:dyDescent="0.2">
      <c r="A327" s="11" t="s">
        <v>745</v>
      </c>
      <c r="B327" s="12" t="s">
        <v>955</v>
      </c>
      <c r="C327" s="12"/>
      <c r="D327" s="12"/>
      <c r="E327" s="13"/>
      <c r="F327" s="263">
        <v>8103.2640000000001</v>
      </c>
      <c r="G327" s="13">
        <v>-109.08</v>
      </c>
      <c r="H327" s="13">
        <v>7966.2120000000004</v>
      </c>
      <c r="I327" s="13"/>
      <c r="J327" s="13">
        <v>98.308999999999997</v>
      </c>
    </row>
    <row r="328" spans="1:10" ht="33.75" x14ac:dyDescent="0.2">
      <c r="A328" s="15" t="s">
        <v>745</v>
      </c>
      <c r="B328" s="16" t="s">
        <v>956</v>
      </c>
      <c r="C328" s="16" t="s">
        <v>23</v>
      </c>
      <c r="D328" s="16" t="s">
        <v>24</v>
      </c>
      <c r="E328" s="17"/>
      <c r="F328" s="264">
        <v>8103.2640000000001</v>
      </c>
      <c r="G328" s="17">
        <v>-109.08</v>
      </c>
      <c r="H328" s="17">
        <v>7857.1319999999996</v>
      </c>
      <c r="I328" s="17"/>
      <c r="J328" s="17">
        <v>96.962999999999994</v>
      </c>
    </row>
    <row r="329" spans="1:10" ht="33.75" x14ac:dyDescent="0.2">
      <c r="A329" s="15" t="s">
        <v>745</v>
      </c>
      <c r="B329" s="16" t="s">
        <v>956</v>
      </c>
      <c r="C329" s="16" t="s">
        <v>584</v>
      </c>
      <c r="D329" s="16" t="s">
        <v>24</v>
      </c>
      <c r="E329" s="17"/>
      <c r="F329" s="264"/>
      <c r="G329" s="17"/>
      <c r="H329" s="17">
        <v>109.08</v>
      </c>
      <c r="I329" s="17"/>
      <c r="J329" s="17"/>
    </row>
    <row r="330" spans="1:10" ht="22.5" x14ac:dyDescent="0.2">
      <c r="A330" s="11" t="s">
        <v>579</v>
      </c>
      <c r="B330" s="12" t="s">
        <v>957</v>
      </c>
      <c r="C330" s="12"/>
      <c r="D330" s="12"/>
      <c r="E330" s="13"/>
      <c r="F330" s="263">
        <v>309.38400000000001</v>
      </c>
      <c r="G330" s="13"/>
      <c r="H330" s="13">
        <v>309.38200000000001</v>
      </c>
      <c r="I330" s="13"/>
      <c r="J330" s="13">
        <v>100</v>
      </c>
    </row>
    <row r="331" spans="1:10" ht="22.5" x14ac:dyDescent="0.2">
      <c r="A331" s="11" t="s">
        <v>507</v>
      </c>
      <c r="B331" s="12" t="s">
        <v>958</v>
      </c>
      <c r="C331" s="12"/>
      <c r="D331" s="12"/>
      <c r="E331" s="13"/>
      <c r="F331" s="263">
        <v>309.38400000000001</v>
      </c>
      <c r="G331" s="13"/>
      <c r="H331" s="13">
        <v>309.38200000000001</v>
      </c>
      <c r="I331" s="13"/>
      <c r="J331" s="13">
        <v>100</v>
      </c>
    </row>
    <row r="332" spans="1:10" ht="22.5" x14ac:dyDescent="0.2">
      <c r="A332" s="15" t="s">
        <v>507</v>
      </c>
      <c r="B332" s="16" t="s">
        <v>959</v>
      </c>
      <c r="C332" s="16" t="s">
        <v>23</v>
      </c>
      <c r="D332" s="16" t="s">
        <v>24</v>
      </c>
      <c r="E332" s="17"/>
      <c r="F332" s="264">
        <v>309.38400000000001</v>
      </c>
      <c r="G332" s="17"/>
      <c r="H332" s="17">
        <v>309.38200000000001</v>
      </c>
      <c r="I332" s="17"/>
      <c r="J332" s="17">
        <v>100</v>
      </c>
    </row>
    <row r="333" spans="1:10" x14ac:dyDescent="0.2">
      <c r="A333" s="11" t="s">
        <v>356</v>
      </c>
      <c r="B333" s="12" t="s">
        <v>960</v>
      </c>
      <c r="C333" s="12"/>
      <c r="D333" s="12"/>
      <c r="E333" s="13">
        <v>105214.7</v>
      </c>
      <c r="F333" s="263">
        <v>206037.67499999999</v>
      </c>
      <c r="G333" s="13">
        <v>35651.860999999997</v>
      </c>
      <c r="H333" s="13">
        <v>121149.46799999999</v>
      </c>
      <c r="I333" s="13">
        <v>115.145</v>
      </c>
      <c r="J333" s="13">
        <v>58.8</v>
      </c>
    </row>
    <row r="334" spans="1:10" ht="22.5" x14ac:dyDescent="0.2">
      <c r="A334" s="11" t="s">
        <v>357</v>
      </c>
      <c r="B334" s="12" t="s">
        <v>961</v>
      </c>
      <c r="C334" s="12"/>
      <c r="D334" s="12"/>
      <c r="E334" s="13">
        <v>105214.7</v>
      </c>
      <c r="F334" s="263">
        <v>206037.67499999999</v>
      </c>
      <c r="G334" s="13">
        <v>35651.860999999997</v>
      </c>
      <c r="H334" s="13">
        <v>121149.46799999999</v>
      </c>
      <c r="I334" s="13">
        <v>115.145</v>
      </c>
      <c r="J334" s="13">
        <v>58.8</v>
      </c>
    </row>
    <row r="335" spans="1:10" x14ac:dyDescent="0.2">
      <c r="A335" s="15" t="s">
        <v>357</v>
      </c>
      <c r="B335" s="16" t="s">
        <v>962</v>
      </c>
      <c r="C335" s="16" t="s">
        <v>584</v>
      </c>
      <c r="D335" s="16" t="s">
        <v>24</v>
      </c>
      <c r="E335" s="17"/>
      <c r="F335" s="267">
        <v>109.08</v>
      </c>
      <c r="G335" s="89">
        <v>109.08</v>
      </c>
      <c r="H335" s="17">
        <v>109.08</v>
      </c>
      <c r="I335" s="17"/>
      <c r="J335" s="17">
        <v>100</v>
      </c>
    </row>
    <row r="336" spans="1:10" x14ac:dyDescent="0.2">
      <c r="A336" s="15" t="s">
        <v>357</v>
      </c>
      <c r="B336" s="16" t="s">
        <v>962</v>
      </c>
      <c r="C336" s="16" t="s">
        <v>585</v>
      </c>
      <c r="D336" s="16" t="s">
        <v>24</v>
      </c>
      <c r="E336" s="17"/>
      <c r="F336" s="267">
        <v>239.06399999999999</v>
      </c>
      <c r="G336" s="89">
        <v>2.004</v>
      </c>
      <c r="H336" s="17">
        <v>239.06399999999999</v>
      </c>
      <c r="I336" s="17"/>
      <c r="J336" s="17">
        <v>100</v>
      </c>
    </row>
    <row r="337" spans="1:10" x14ac:dyDescent="0.2">
      <c r="A337" s="15" t="s">
        <v>357</v>
      </c>
      <c r="B337" s="16" t="s">
        <v>962</v>
      </c>
      <c r="C337" s="16" t="s">
        <v>748</v>
      </c>
      <c r="D337" s="16" t="s">
        <v>24</v>
      </c>
      <c r="E337" s="17"/>
      <c r="F337" s="267">
        <v>779.2</v>
      </c>
      <c r="G337" s="89">
        <v>779.2</v>
      </c>
      <c r="H337" s="17">
        <v>779.2</v>
      </c>
      <c r="I337" s="17"/>
      <c r="J337" s="17">
        <v>100</v>
      </c>
    </row>
    <row r="338" spans="1:10" x14ac:dyDescent="0.2">
      <c r="A338" s="15" t="s">
        <v>357</v>
      </c>
      <c r="B338" s="16" t="s">
        <v>963</v>
      </c>
      <c r="C338" s="16" t="s">
        <v>358</v>
      </c>
      <c r="D338" s="16" t="s">
        <v>24</v>
      </c>
      <c r="E338" s="17"/>
      <c r="F338" s="264">
        <v>353</v>
      </c>
      <c r="G338" s="89">
        <v>34.405999999999999</v>
      </c>
      <c r="H338" s="17">
        <v>208.64099999999999</v>
      </c>
      <c r="I338" s="17"/>
      <c r="J338" s="17">
        <v>59.104999999999997</v>
      </c>
    </row>
    <row r="339" spans="1:10" x14ac:dyDescent="0.2">
      <c r="A339" s="15" t="s">
        <v>357</v>
      </c>
      <c r="B339" s="16" t="s">
        <v>963</v>
      </c>
      <c r="C339" s="16" t="s">
        <v>964</v>
      </c>
      <c r="D339" s="16" t="s">
        <v>24</v>
      </c>
      <c r="E339" s="17"/>
      <c r="F339" s="264">
        <v>2364.3000000000002</v>
      </c>
      <c r="G339" s="17"/>
      <c r="H339" s="17"/>
      <c r="I339" s="17"/>
      <c r="J339" s="17"/>
    </row>
    <row r="340" spans="1:10" x14ac:dyDescent="0.2">
      <c r="A340" s="15" t="s">
        <v>357</v>
      </c>
      <c r="B340" s="16" t="s">
        <v>963</v>
      </c>
      <c r="C340" s="16" t="s">
        <v>965</v>
      </c>
      <c r="D340" s="16" t="s">
        <v>24</v>
      </c>
      <c r="E340" s="17"/>
      <c r="F340" s="264">
        <v>31897.1</v>
      </c>
      <c r="G340" s="89">
        <v>2128.4319999999998</v>
      </c>
      <c r="H340" s="17">
        <v>3508.4769999999999</v>
      </c>
      <c r="I340" s="17"/>
      <c r="J340" s="17">
        <v>10.999000000000001</v>
      </c>
    </row>
    <row r="341" spans="1:10" x14ac:dyDescent="0.2">
      <c r="A341" s="15" t="s">
        <v>357</v>
      </c>
      <c r="B341" s="16" t="s">
        <v>963</v>
      </c>
      <c r="C341" s="16" t="s">
        <v>970</v>
      </c>
      <c r="D341" s="16" t="s">
        <v>24</v>
      </c>
      <c r="E341" s="17"/>
      <c r="F341" s="264">
        <v>27936</v>
      </c>
      <c r="G341" s="17"/>
      <c r="H341" s="17"/>
      <c r="I341" s="17"/>
      <c r="J341" s="17"/>
    </row>
    <row r="342" spans="1:10" x14ac:dyDescent="0.2">
      <c r="A342" s="15" t="s">
        <v>357</v>
      </c>
      <c r="B342" s="16" t="s">
        <v>963</v>
      </c>
      <c r="C342" s="16" t="s">
        <v>1083</v>
      </c>
      <c r="D342" s="16" t="s">
        <v>24</v>
      </c>
      <c r="E342" s="17"/>
      <c r="F342" s="264">
        <v>2355.1</v>
      </c>
      <c r="G342" s="17"/>
      <c r="H342" s="17"/>
      <c r="I342" s="17"/>
      <c r="J342" s="17"/>
    </row>
    <row r="343" spans="1:10" x14ac:dyDescent="0.2">
      <c r="A343" s="15" t="s">
        <v>357</v>
      </c>
      <c r="B343" s="16" t="s">
        <v>966</v>
      </c>
      <c r="C343" s="16" t="s">
        <v>360</v>
      </c>
      <c r="D343" s="16" t="s">
        <v>24</v>
      </c>
      <c r="E343" s="17"/>
      <c r="F343" s="264">
        <v>4952.6310000000003</v>
      </c>
      <c r="G343" s="17"/>
      <c r="H343" s="17">
        <v>4952.6310000000003</v>
      </c>
      <c r="I343" s="17"/>
      <c r="J343" s="17">
        <v>100</v>
      </c>
    </row>
    <row r="344" spans="1:10" x14ac:dyDescent="0.2">
      <c r="A344" s="15" t="s">
        <v>357</v>
      </c>
      <c r="B344" s="16" t="s">
        <v>966</v>
      </c>
      <c r="C344" s="16" t="s">
        <v>573</v>
      </c>
      <c r="D344" s="16" t="s">
        <v>24</v>
      </c>
      <c r="E344" s="17">
        <v>68315</v>
      </c>
      <c r="F344" s="264">
        <v>85655.1</v>
      </c>
      <c r="G344" s="89">
        <v>9283.7999999999993</v>
      </c>
      <c r="H344" s="17">
        <v>67088.800000000003</v>
      </c>
      <c r="I344" s="17">
        <v>98.204999999999998</v>
      </c>
      <c r="J344" s="17">
        <v>78.323999999999998</v>
      </c>
    </row>
    <row r="345" spans="1:10" x14ac:dyDescent="0.2">
      <c r="A345" s="15" t="s">
        <v>357</v>
      </c>
      <c r="B345" s="16" t="s">
        <v>966</v>
      </c>
      <c r="C345" s="16" t="s">
        <v>586</v>
      </c>
      <c r="D345" s="16" t="s">
        <v>24</v>
      </c>
      <c r="E345" s="17"/>
      <c r="F345" s="264">
        <v>15000</v>
      </c>
      <c r="G345" s="89">
        <v>548.93899999999996</v>
      </c>
      <c r="H345" s="17">
        <v>12949.575000000001</v>
      </c>
      <c r="I345" s="17"/>
      <c r="J345" s="17">
        <v>86.331000000000003</v>
      </c>
    </row>
    <row r="346" spans="1:10" x14ac:dyDescent="0.2">
      <c r="A346" s="15" t="s">
        <v>357</v>
      </c>
      <c r="B346" s="16" t="s">
        <v>966</v>
      </c>
      <c r="C346" s="16" t="s">
        <v>750</v>
      </c>
      <c r="D346" s="16" t="s">
        <v>24</v>
      </c>
      <c r="E346" s="17"/>
      <c r="F346" s="264">
        <v>5500</v>
      </c>
      <c r="G346" s="17"/>
      <c r="H346" s="17">
        <v>5500</v>
      </c>
      <c r="I346" s="17"/>
      <c r="J346" s="17">
        <v>100</v>
      </c>
    </row>
    <row r="347" spans="1:10" x14ac:dyDescent="0.2">
      <c r="A347" s="15" t="s">
        <v>357</v>
      </c>
      <c r="B347" s="16" t="s">
        <v>966</v>
      </c>
      <c r="C347" s="16" t="s">
        <v>967</v>
      </c>
      <c r="D347" s="16" t="s">
        <v>24</v>
      </c>
      <c r="E347" s="17"/>
      <c r="F347" s="264">
        <v>5334.3</v>
      </c>
      <c r="G347" s="89">
        <v>762</v>
      </c>
      <c r="H347" s="17">
        <v>3810</v>
      </c>
      <c r="I347" s="17"/>
      <c r="J347" s="17">
        <v>71.424999999999997</v>
      </c>
    </row>
    <row r="348" spans="1:10" x14ac:dyDescent="0.2">
      <c r="A348" s="15" t="s">
        <v>357</v>
      </c>
      <c r="B348" s="16" t="s">
        <v>968</v>
      </c>
      <c r="C348" s="16" t="s">
        <v>752</v>
      </c>
      <c r="D348" s="16" t="s">
        <v>24</v>
      </c>
      <c r="E348" s="17"/>
      <c r="F348" s="264">
        <v>22981.9</v>
      </c>
      <c r="G348" s="89">
        <v>22004</v>
      </c>
      <c r="H348" s="17">
        <v>22004</v>
      </c>
      <c r="I348" s="17"/>
      <c r="J348" s="17">
        <v>95.745000000000005</v>
      </c>
    </row>
    <row r="349" spans="1:10" x14ac:dyDescent="0.2">
      <c r="A349" s="15" t="s">
        <v>357</v>
      </c>
      <c r="B349" s="16" t="s">
        <v>968</v>
      </c>
      <c r="C349" s="16" t="s">
        <v>951</v>
      </c>
      <c r="D349" s="16" t="s">
        <v>24</v>
      </c>
      <c r="E349" s="17">
        <v>36899.699999999997</v>
      </c>
      <c r="F349" s="264"/>
      <c r="G349" s="17"/>
      <c r="H349" s="17"/>
      <c r="I349" s="17"/>
      <c r="J349" s="17"/>
    </row>
    <row r="350" spans="1:10" x14ac:dyDescent="0.2">
      <c r="A350" s="15" t="s">
        <v>357</v>
      </c>
      <c r="B350" s="16" t="s">
        <v>968</v>
      </c>
      <c r="C350" s="16" t="s">
        <v>969</v>
      </c>
      <c r="D350" s="16" t="s">
        <v>24</v>
      </c>
      <c r="E350" s="17"/>
      <c r="F350" s="264">
        <v>580.9</v>
      </c>
      <c r="G350" s="17"/>
      <c r="H350" s="17"/>
      <c r="I350" s="17"/>
      <c r="J350" s="17"/>
    </row>
    <row r="351" spans="1:10" ht="22.5" x14ac:dyDescent="0.2">
      <c r="A351" s="11" t="s">
        <v>354</v>
      </c>
      <c r="B351" s="12" t="s">
        <v>576</v>
      </c>
      <c r="C351" s="12"/>
      <c r="D351" s="12"/>
      <c r="E351" s="13">
        <v>176476.4</v>
      </c>
      <c r="F351" s="263"/>
      <c r="G351" s="13"/>
      <c r="H351" s="13"/>
      <c r="I351" s="13"/>
      <c r="J351" s="13"/>
    </row>
    <row r="352" spans="1:10" ht="33.75" x14ac:dyDescent="0.2">
      <c r="A352" s="11" t="s">
        <v>355</v>
      </c>
      <c r="B352" s="12" t="s">
        <v>577</v>
      </c>
      <c r="C352" s="12"/>
      <c r="D352" s="12"/>
      <c r="E352" s="13">
        <v>176476.4</v>
      </c>
      <c r="F352" s="263"/>
      <c r="G352" s="13"/>
      <c r="H352" s="13"/>
      <c r="I352" s="13"/>
      <c r="J352" s="13"/>
    </row>
    <row r="353" spans="1:14" ht="33.75" x14ac:dyDescent="0.2">
      <c r="A353" s="11" t="s">
        <v>578</v>
      </c>
      <c r="B353" s="12" t="s">
        <v>480</v>
      </c>
      <c r="C353" s="12"/>
      <c r="D353" s="12"/>
      <c r="E353" s="13">
        <v>176476.4</v>
      </c>
      <c r="F353" s="263"/>
      <c r="G353" s="13"/>
      <c r="H353" s="13"/>
      <c r="I353" s="13"/>
      <c r="J353" s="13"/>
    </row>
    <row r="354" spans="1:14" ht="33.75" x14ac:dyDescent="0.2">
      <c r="A354" s="15" t="s">
        <v>578</v>
      </c>
      <c r="B354" s="16" t="s">
        <v>866</v>
      </c>
      <c r="C354" s="16" t="s">
        <v>23</v>
      </c>
      <c r="D354" s="16" t="s">
        <v>24</v>
      </c>
      <c r="E354" s="17">
        <v>176476.4</v>
      </c>
      <c r="F354" s="264"/>
      <c r="G354" s="17"/>
      <c r="H354" s="17"/>
      <c r="I354" s="17"/>
      <c r="J354" s="17"/>
    </row>
    <row r="355" spans="1:14" ht="22.5" x14ac:dyDescent="0.2">
      <c r="A355" s="164" t="s">
        <v>361</v>
      </c>
      <c r="B355" s="165" t="s">
        <v>971</v>
      </c>
      <c r="C355" s="165"/>
      <c r="D355" s="165"/>
      <c r="E355" s="106">
        <v>1067250.8999999999</v>
      </c>
      <c r="F355" s="263">
        <v>1219280.2</v>
      </c>
      <c r="G355" s="163">
        <v>97709.745999999999</v>
      </c>
      <c r="H355" s="106">
        <v>957009.27099999995</v>
      </c>
      <c r="I355" s="106">
        <v>89.671000000000006</v>
      </c>
      <c r="J355" s="106">
        <v>78.489999999999995</v>
      </c>
      <c r="K355" s="67"/>
      <c r="L355" s="67"/>
      <c r="M355" s="67"/>
      <c r="N355" s="67"/>
    </row>
    <row r="356" spans="1:14" ht="33.75" x14ac:dyDescent="0.2">
      <c r="A356" s="11" t="s">
        <v>362</v>
      </c>
      <c r="B356" s="12" t="s">
        <v>972</v>
      </c>
      <c r="C356" s="12"/>
      <c r="D356" s="12"/>
      <c r="E356" s="13">
        <v>72611</v>
      </c>
      <c r="F356" s="263">
        <v>76147.7</v>
      </c>
      <c r="G356" s="13">
        <v>5675.8130000000001</v>
      </c>
      <c r="H356" s="13">
        <v>61961.61</v>
      </c>
      <c r="I356" s="13">
        <v>85.334000000000003</v>
      </c>
      <c r="J356" s="13">
        <v>81.37</v>
      </c>
    </row>
    <row r="357" spans="1:14" ht="33.75" x14ac:dyDescent="0.2">
      <c r="A357" s="11" t="s">
        <v>363</v>
      </c>
      <c r="B357" s="12" t="s">
        <v>973</v>
      </c>
      <c r="C357" s="12"/>
      <c r="D357" s="12"/>
      <c r="E357" s="13">
        <v>72611</v>
      </c>
      <c r="F357" s="263">
        <v>76147.7</v>
      </c>
      <c r="G357" s="13">
        <v>5675.8130000000001</v>
      </c>
      <c r="H357" s="13">
        <v>61961.61</v>
      </c>
      <c r="I357" s="13">
        <v>85.334000000000003</v>
      </c>
      <c r="J357" s="13">
        <v>81.37</v>
      </c>
    </row>
    <row r="358" spans="1:14" ht="33.75" x14ac:dyDescent="0.2">
      <c r="A358" s="15" t="s">
        <v>363</v>
      </c>
      <c r="B358" s="16" t="s">
        <v>974</v>
      </c>
      <c r="C358" s="16" t="s">
        <v>23</v>
      </c>
      <c r="D358" s="16" t="s">
        <v>24</v>
      </c>
      <c r="E358" s="17">
        <v>72611</v>
      </c>
      <c r="F358" s="264">
        <v>76147.7</v>
      </c>
      <c r="G358" s="17">
        <v>5675.8130000000001</v>
      </c>
      <c r="H358" s="17">
        <v>61961.61</v>
      </c>
      <c r="I358" s="17">
        <v>85.334000000000003</v>
      </c>
      <c r="J358" s="17">
        <v>81.37</v>
      </c>
    </row>
    <row r="359" spans="1:14" ht="33.75" x14ac:dyDescent="0.2">
      <c r="A359" s="11" t="s">
        <v>364</v>
      </c>
      <c r="B359" s="12" t="s">
        <v>975</v>
      </c>
      <c r="C359" s="12"/>
      <c r="D359" s="12"/>
      <c r="E359" s="13">
        <v>40389</v>
      </c>
      <c r="F359" s="263">
        <v>42301.7</v>
      </c>
      <c r="G359" s="13">
        <v>3733.933</v>
      </c>
      <c r="H359" s="13">
        <v>31545.460999999999</v>
      </c>
      <c r="I359" s="13">
        <v>78.103999999999999</v>
      </c>
      <c r="J359" s="13">
        <v>74.572999999999993</v>
      </c>
    </row>
    <row r="360" spans="1:14" ht="33.75" x14ac:dyDescent="0.2">
      <c r="A360" s="11" t="s">
        <v>365</v>
      </c>
      <c r="B360" s="12" t="s">
        <v>976</v>
      </c>
      <c r="C360" s="12"/>
      <c r="D360" s="12"/>
      <c r="E360" s="13">
        <v>40389</v>
      </c>
      <c r="F360" s="263">
        <v>42301.7</v>
      </c>
      <c r="G360" s="13">
        <v>3733.933</v>
      </c>
      <c r="H360" s="13">
        <v>31545.460999999999</v>
      </c>
      <c r="I360" s="13">
        <v>78.103999999999999</v>
      </c>
      <c r="J360" s="13">
        <v>74.572999999999993</v>
      </c>
    </row>
    <row r="361" spans="1:14" ht="33.75" x14ac:dyDescent="0.2">
      <c r="A361" s="15" t="s">
        <v>365</v>
      </c>
      <c r="B361" s="16" t="s">
        <v>977</v>
      </c>
      <c r="C361" s="16" t="s">
        <v>366</v>
      </c>
      <c r="D361" s="16" t="s">
        <v>24</v>
      </c>
      <c r="E361" s="17">
        <v>32914</v>
      </c>
      <c r="F361" s="264">
        <v>34103.199999999997</v>
      </c>
      <c r="G361" s="17">
        <v>3147</v>
      </c>
      <c r="H361" s="17">
        <v>24821.1</v>
      </c>
      <c r="I361" s="17">
        <v>75.412000000000006</v>
      </c>
      <c r="J361" s="17">
        <v>72.781999999999996</v>
      </c>
    </row>
    <row r="362" spans="1:14" ht="33.75" x14ac:dyDescent="0.2">
      <c r="A362" s="15" t="s">
        <v>365</v>
      </c>
      <c r="B362" s="16" t="s">
        <v>978</v>
      </c>
      <c r="C362" s="16" t="s">
        <v>367</v>
      </c>
      <c r="D362" s="16" t="s">
        <v>24</v>
      </c>
      <c r="E362" s="17">
        <v>3155.1</v>
      </c>
      <c r="F362" s="264">
        <v>3763.1</v>
      </c>
      <c r="G362" s="17">
        <v>313.15800000000002</v>
      </c>
      <c r="H362" s="17">
        <v>3092.5830000000001</v>
      </c>
      <c r="I362" s="17">
        <v>98.019000000000005</v>
      </c>
      <c r="J362" s="17">
        <v>82.182000000000002</v>
      </c>
    </row>
    <row r="363" spans="1:14" ht="33.75" x14ac:dyDescent="0.2">
      <c r="A363" s="15" t="s">
        <v>365</v>
      </c>
      <c r="B363" s="16" t="s">
        <v>978</v>
      </c>
      <c r="C363" s="16" t="s">
        <v>368</v>
      </c>
      <c r="D363" s="16" t="s">
        <v>24</v>
      </c>
      <c r="E363" s="17">
        <v>629.6</v>
      </c>
      <c r="F363" s="264">
        <v>648.5</v>
      </c>
      <c r="G363" s="17">
        <v>54.566000000000003</v>
      </c>
      <c r="H363" s="17">
        <v>539.36599999999999</v>
      </c>
      <c r="I363" s="17">
        <v>85.668000000000006</v>
      </c>
      <c r="J363" s="17">
        <v>83.171000000000006</v>
      </c>
    </row>
    <row r="364" spans="1:14" ht="33.75" x14ac:dyDescent="0.2">
      <c r="A364" s="15" t="s">
        <v>365</v>
      </c>
      <c r="B364" s="16" t="s">
        <v>978</v>
      </c>
      <c r="C364" s="16" t="s">
        <v>369</v>
      </c>
      <c r="D364" s="16" t="s">
        <v>24</v>
      </c>
      <c r="E364" s="17">
        <v>1902.7</v>
      </c>
      <c r="F364" s="264">
        <v>1959.9</v>
      </c>
      <c r="G364" s="17">
        <v>132.209</v>
      </c>
      <c r="H364" s="17">
        <v>1653.354</v>
      </c>
      <c r="I364" s="17">
        <v>86.894999999999996</v>
      </c>
      <c r="J364" s="17">
        <v>84.358999999999995</v>
      </c>
    </row>
    <row r="365" spans="1:14" ht="33.75" x14ac:dyDescent="0.2">
      <c r="A365" s="15" t="s">
        <v>365</v>
      </c>
      <c r="B365" s="16" t="s">
        <v>978</v>
      </c>
      <c r="C365" s="16" t="s">
        <v>370</v>
      </c>
      <c r="D365" s="16" t="s">
        <v>24</v>
      </c>
      <c r="E365" s="17">
        <v>1259.2</v>
      </c>
      <c r="F365" s="264">
        <v>1297.0999999999999</v>
      </c>
      <c r="G365" s="17">
        <v>86.3</v>
      </c>
      <c r="H365" s="17">
        <v>909.15800000000002</v>
      </c>
      <c r="I365" s="17">
        <v>72.200999999999993</v>
      </c>
      <c r="J365" s="17">
        <v>70.091999999999999</v>
      </c>
    </row>
    <row r="366" spans="1:14" ht="33.75" x14ac:dyDescent="0.2">
      <c r="A366" s="15" t="s">
        <v>365</v>
      </c>
      <c r="B366" s="16" t="s">
        <v>978</v>
      </c>
      <c r="C366" s="16" t="s">
        <v>372</v>
      </c>
      <c r="D366" s="16" t="s">
        <v>24</v>
      </c>
      <c r="E366" s="17">
        <v>0.7</v>
      </c>
      <c r="F366" s="264">
        <v>0.7</v>
      </c>
      <c r="G366" s="17">
        <v>0.7</v>
      </c>
      <c r="H366" s="17">
        <v>0.7</v>
      </c>
      <c r="I366" s="17">
        <v>100</v>
      </c>
      <c r="J366" s="17">
        <v>100</v>
      </c>
    </row>
    <row r="367" spans="1:14" ht="33.75" x14ac:dyDescent="0.2">
      <c r="A367" s="15" t="s">
        <v>365</v>
      </c>
      <c r="B367" s="16" t="s">
        <v>978</v>
      </c>
      <c r="C367" s="16" t="s">
        <v>868</v>
      </c>
      <c r="D367" s="16" t="s">
        <v>24</v>
      </c>
      <c r="E367" s="17">
        <v>52.7</v>
      </c>
      <c r="F367" s="264">
        <v>54.2</v>
      </c>
      <c r="G367" s="17"/>
      <c r="H367" s="17">
        <v>54.2</v>
      </c>
      <c r="I367" s="17">
        <v>102.846</v>
      </c>
      <c r="J367" s="17">
        <v>100</v>
      </c>
    </row>
    <row r="368" spans="1:14" ht="33.75" x14ac:dyDescent="0.2">
      <c r="A368" s="15" t="s">
        <v>365</v>
      </c>
      <c r="B368" s="16" t="s">
        <v>979</v>
      </c>
      <c r="C368" s="16" t="s">
        <v>371</v>
      </c>
      <c r="D368" s="16" t="s">
        <v>24</v>
      </c>
      <c r="E368" s="17">
        <v>475</v>
      </c>
      <c r="F368" s="264">
        <v>475</v>
      </c>
      <c r="G368" s="17"/>
      <c r="H368" s="17">
        <v>475</v>
      </c>
      <c r="I368" s="17">
        <v>100</v>
      </c>
      <c r="J368" s="17">
        <v>100</v>
      </c>
    </row>
    <row r="369" spans="1:14" ht="45" x14ac:dyDescent="0.2">
      <c r="A369" s="11" t="s">
        <v>753</v>
      </c>
      <c r="B369" s="12" t="s">
        <v>980</v>
      </c>
      <c r="C369" s="12"/>
      <c r="D369" s="12"/>
      <c r="E369" s="13">
        <v>23.4</v>
      </c>
      <c r="F369" s="263">
        <v>23.4</v>
      </c>
      <c r="G369" s="13"/>
      <c r="H369" s="13">
        <v>23.4</v>
      </c>
      <c r="I369" s="13">
        <v>100</v>
      </c>
      <c r="J369" s="13">
        <v>100</v>
      </c>
    </row>
    <row r="370" spans="1:14" ht="56.25" x14ac:dyDescent="0.2">
      <c r="A370" s="11" t="s">
        <v>515</v>
      </c>
      <c r="B370" s="12" t="s">
        <v>981</v>
      </c>
      <c r="C370" s="12"/>
      <c r="D370" s="12"/>
      <c r="E370" s="13">
        <v>23.4</v>
      </c>
      <c r="F370" s="263">
        <v>23.4</v>
      </c>
      <c r="G370" s="13"/>
      <c r="H370" s="13">
        <v>23.4</v>
      </c>
      <c r="I370" s="13">
        <v>100</v>
      </c>
      <c r="J370" s="13">
        <v>100</v>
      </c>
    </row>
    <row r="371" spans="1:14" ht="56.25" x14ac:dyDescent="0.2">
      <c r="A371" s="15" t="s">
        <v>515</v>
      </c>
      <c r="B371" s="16" t="s">
        <v>982</v>
      </c>
      <c r="C371" s="16" t="s">
        <v>23</v>
      </c>
      <c r="D371" s="16" t="s">
        <v>24</v>
      </c>
      <c r="E371" s="17">
        <v>23.4</v>
      </c>
      <c r="F371" s="264">
        <v>23.4</v>
      </c>
      <c r="G371" s="17"/>
      <c r="H371" s="17">
        <v>23.4</v>
      </c>
      <c r="I371" s="17">
        <v>100</v>
      </c>
      <c r="J371" s="17">
        <v>100</v>
      </c>
    </row>
    <row r="372" spans="1:14" x14ac:dyDescent="0.2">
      <c r="A372" s="11" t="s">
        <v>374</v>
      </c>
      <c r="B372" s="12" t="s">
        <v>983</v>
      </c>
      <c r="C372" s="12"/>
      <c r="D372" s="12"/>
      <c r="E372" s="13">
        <v>954227.5</v>
      </c>
      <c r="F372" s="263">
        <v>1100807.3999999999</v>
      </c>
      <c r="G372" s="13">
        <v>88300</v>
      </c>
      <c r="H372" s="13">
        <v>863478.8</v>
      </c>
      <c r="I372" s="13">
        <v>90.49</v>
      </c>
      <c r="J372" s="13">
        <v>78.441000000000003</v>
      </c>
    </row>
    <row r="373" spans="1:14" ht="22.5" x14ac:dyDescent="0.2">
      <c r="A373" s="11" t="s">
        <v>375</v>
      </c>
      <c r="B373" s="12" t="s">
        <v>984</v>
      </c>
      <c r="C373" s="12"/>
      <c r="D373" s="12"/>
      <c r="E373" s="13">
        <v>954227.5</v>
      </c>
      <c r="F373" s="263">
        <v>1100807.3999999999</v>
      </c>
      <c r="G373" s="13">
        <v>88300</v>
      </c>
      <c r="H373" s="13">
        <v>863478.8</v>
      </c>
      <c r="I373" s="13">
        <v>90.49</v>
      </c>
      <c r="J373" s="13">
        <v>78.441000000000003</v>
      </c>
    </row>
    <row r="374" spans="1:14" x14ac:dyDescent="0.2">
      <c r="A374" s="15" t="s">
        <v>375</v>
      </c>
      <c r="B374" s="16" t="s">
        <v>985</v>
      </c>
      <c r="C374" s="16" t="s">
        <v>373</v>
      </c>
      <c r="D374" s="16" t="s">
        <v>24</v>
      </c>
      <c r="E374" s="17">
        <v>682799.4</v>
      </c>
      <c r="F374" s="264">
        <v>775354.7</v>
      </c>
      <c r="G374" s="17">
        <v>62300</v>
      </c>
      <c r="H374" s="17">
        <v>606380</v>
      </c>
      <c r="I374" s="17">
        <v>88.808000000000007</v>
      </c>
      <c r="J374" s="17">
        <v>78.206999999999994</v>
      </c>
    </row>
    <row r="375" spans="1:14" x14ac:dyDescent="0.2">
      <c r="A375" s="15" t="s">
        <v>375</v>
      </c>
      <c r="B375" s="16" t="s">
        <v>985</v>
      </c>
      <c r="C375" s="16" t="s">
        <v>376</v>
      </c>
      <c r="D375" s="16" t="s">
        <v>24</v>
      </c>
      <c r="E375" s="17">
        <v>271428.09999999998</v>
      </c>
      <c r="F375" s="264">
        <v>325452.7</v>
      </c>
      <c r="G375" s="17">
        <v>26000</v>
      </c>
      <c r="H375" s="17">
        <v>257098.8</v>
      </c>
      <c r="I375" s="17">
        <v>94.721000000000004</v>
      </c>
      <c r="J375" s="17">
        <v>78.997</v>
      </c>
    </row>
    <row r="376" spans="1:14" x14ac:dyDescent="0.2">
      <c r="A376" s="164" t="s">
        <v>377</v>
      </c>
      <c r="B376" s="165" t="s">
        <v>986</v>
      </c>
      <c r="C376" s="165"/>
      <c r="D376" s="165"/>
      <c r="E376" s="106">
        <v>12728.539000000001</v>
      </c>
      <c r="F376" s="263">
        <v>87473.885999999999</v>
      </c>
      <c r="G376" s="163">
        <v>945.52499999999998</v>
      </c>
      <c r="H376" s="106">
        <v>14706.416999999999</v>
      </c>
      <c r="I376" s="106">
        <v>115.539</v>
      </c>
      <c r="J376" s="106">
        <v>16.812000000000001</v>
      </c>
      <c r="K376" s="67"/>
      <c r="L376" s="67"/>
      <c r="M376" s="67"/>
      <c r="N376" s="67"/>
    </row>
    <row r="377" spans="1:14" ht="56.25" x14ac:dyDescent="0.2">
      <c r="A377" s="11" t="s">
        <v>378</v>
      </c>
      <c r="B377" s="12" t="s">
        <v>987</v>
      </c>
      <c r="C377" s="12"/>
      <c r="D377" s="12"/>
      <c r="E377" s="13">
        <v>12728.539000000001</v>
      </c>
      <c r="F377" s="263">
        <v>12432.986000000001</v>
      </c>
      <c r="G377" s="13">
        <v>945.52499999999998</v>
      </c>
      <c r="H377" s="13">
        <v>10347.981</v>
      </c>
      <c r="I377" s="13">
        <v>81.298000000000002</v>
      </c>
      <c r="J377" s="13">
        <v>83.23</v>
      </c>
    </row>
    <row r="378" spans="1:14" ht="56.25" x14ac:dyDescent="0.2">
      <c r="A378" s="11" t="s">
        <v>379</v>
      </c>
      <c r="B378" s="12" t="s">
        <v>988</v>
      </c>
      <c r="C378" s="12"/>
      <c r="D378" s="12"/>
      <c r="E378" s="13">
        <v>12728.539000000001</v>
      </c>
      <c r="F378" s="263">
        <v>12432.986000000001</v>
      </c>
      <c r="G378" s="13">
        <v>945.52499999999998</v>
      </c>
      <c r="H378" s="13">
        <v>10347.981</v>
      </c>
      <c r="I378" s="13">
        <v>81.298000000000002</v>
      </c>
      <c r="J378" s="13">
        <v>83.23</v>
      </c>
    </row>
    <row r="379" spans="1:14" ht="56.25" x14ac:dyDescent="0.2">
      <c r="A379" s="15" t="s">
        <v>379</v>
      </c>
      <c r="B379" s="16" t="s">
        <v>989</v>
      </c>
      <c r="C379" s="16" t="s">
        <v>755</v>
      </c>
      <c r="D379" s="16" t="s">
        <v>24</v>
      </c>
      <c r="E379" s="17">
        <v>728.48199999999997</v>
      </c>
      <c r="F379" s="264">
        <v>728.48199999999997</v>
      </c>
      <c r="G379" s="17">
        <v>48.45</v>
      </c>
      <c r="H379" s="17">
        <v>607.54499999999996</v>
      </c>
      <c r="I379" s="17">
        <v>83.399000000000001</v>
      </c>
      <c r="J379" s="17">
        <v>83.399000000000001</v>
      </c>
    </row>
    <row r="380" spans="1:14" ht="56.25" x14ac:dyDescent="0.2">
      <c r="A380" s="15" t="s">
        <v>379</v>
      </c>
      <c r="B380" s="16" t="s">
        <v>989</v>
      </c>
      <c r="C380" s="16" t="s">
        <v>381</v>
      </c>
      <c r="D380" s="16" t="s">
        <v>24</v>
      </c>
      <c r="E380" s="17">
        <v>612.16899999999998</v>
      </c>
      <c r="F380" s="264">
        <v>612.16899999999998</v>
      </c>
      <c r="G380" s="17">
        <v>40.801000000000002</v>
      </c>
      <c r="H380" s="17">
        <v>513.74400000000003</v>
      </c>
      <c r="I380" s="17">
        <v>83.921999999999997</v>
      </c>
      <c r="J380" s="17">
        <v>83.921999999999997</v>
      </c>
    </row>
    <row r="381" spans="1:14" ht="56.25" x14ac:dyDescent="0.2">
      <c r="A381" s="15" t="s">
        <v>379</v>
      </c>
      <c r="B381" s="16" t="s">
        <v>990</v>
      </c>
      <c r="C381" s="16" t="s">
        <v>755</v>
      </c>
      <c r="D381" s="16" t="s">
        <v>24</v>
      </c>
      <c r="E381" s="17">
        <v>9478.2080000000005</v>
      </c>
      <c r="F381" s="264">
        <v>9478.2080000000005</v>
      </c>
      <c r="G381" s="17">
        <v>742.49</v>
      </c>
      <c r="H381" s="17">
        <v>7861.7179999999998</v>
      </c>
      <c r="I381" s="17">
        <v>82.944999999999993</v>
      </c>
      <c r="J381" s="17">
        <v>82.944999999999993</v>
      </c>
    </row>
    <row r="382" spans="1:14" ht="56.25" x14ac:dyDescent="0.2">
      <c r="A382" s="15" t="s">
        <v>379</v>
      </c>
      <c r="B382" s="16" t="s">
        <v>991</v>
      </c>
      <c r="C382" s="16" t="s">
        <v>756</v>
      </c>
      <c r="D382" s="16" t="s">
        <v>24</v>
      </c>
      <c r="E382" s="17">
        <v>189.36500000000001</v>
      </c>
      <c r="F382" s="264">
        <v>189.36500000000001</v>
      </c>
      <c r="G382" s="17">
        <v>14.11</v>
      </c>
      <c r="H382" s="17">
        <v>161.45500000000001</v>
      </c>
      <c r="I382" s="17">
        <v>85.262</v>
      </c>
      <c r="J382" s="17">
        <v>85.262</v>
      </c>
    </row>
    <row r="383" spans="1:14" ht="56.25" x14ac:dyDescent="0.2">
      <c r="A383" s="15" t="s">
        <v>379</v>
      </c>
      <c r="B383" s="16" t="s">
        <v>992</v>
      </c>
      <c r="C383" s="16" t="s">
        <v>755</v>
      </c>
      <c r="D383" s="16" t="s">
        <v>24</v>
      </c>
      <c r="E383" s="17">
        <v>1281.201</v>
      </c>
      <c r="F383" s="264">
        <v>1424.7619999999999</v>
      </c>
      <c r="G383" s="17">
        <v>99.674000000000007</v>
      </c>
      <c r="H383" s="17">
        <v>1203.52</v>
      </c>
      <c r="I383" s="17">
        <v>93.936999999999998</v>
      </c>
      <c r="J383" s="17">
        <v>84.471999999999994</v>
      </c>
    </row>
    <row r="384" spans="1:14" ht="56.25" x14ac:dyDescent="0.2">
      <c r="A384" s="15" t="s">
        <v>379</v>
      </c>
      <c r="B384" s="16" t="s">
        <v>993</v>
      </c>
      <c r="C384" s="16" t="s">
        <v>380</v>
      </c>
      <c r="D384" s="16" t="s">
        <v>24</v>
      </c>
      <c r="E384" s="17">
        <v>439.11399999999998</v>
      </c>
      <c r="F384" s="264"/>
      <c r="G384" s="17"/>
      <c r="H384" s="17"/>
      <c r="I384" s="17"/>
      <c r="J384" s="17"/>
    </row>
    <row r="385" spans="1:14" ht="22.5" x14ac:dyDescent="0.2">
      <c r="A385" s="11" t="s">
        <v>994</v>
      </c>
      <c r="B385" s="12" t="s">
        <v>995</v>
      </c>
      <c r="C385" s="12"/>
      <c r="D385" s="12"/>
      <c r="E385" s="13"/>
      <c r="F385" s="263">
        <v>75040.899999999994</v>
      </c>
      <c r="G385" s="13"/>
      <c r="H385" s="13">
        <v>4358.4359999999997</v>
      </c>
      <c r="I385" s="13"/>
      <c r="J385" s="13">
        <v>5.8079999999999998</v>
      </c>
    </row>
    <row r="386" spans="1:14" ht="22.5" x14ac:dyDescent="0.2">
      <c r="A386" s="11" t="s">
        <v>996</v>
      </c>
      <c r="B386" s="12" t="s">
        <v>997</v>
      </c>
      <c r="C386" s="12"/>
      <c r="D386" s="12"/>
      <c r="E386" s="13"/>
      <c r="F386" s="263">
        <v>75040.899999999994</v>
      </c>
      <c r="G386" s="13"/>
      <c r="H386" s="13">
        <v>4358.4359999999997</v>
      </c>
      <c r="I386" s="13"/>
      <c r="J386" s="13">
        <v>5.8079999999999998</v>
      </c>
    </row>
    <row r="387" spans="1:14" ht="22.5" x14ac:dyDescent="0.2">
      <c r="A387" s="15" t="s">
        <v>996</v>
      </c>
      <c r="B387" s="16" t="s">
        <v>998</v>
      </c>
      <c r="C387" s="16" t="s">
        <v>999</v>
      </c>
      <c r="D387" s="16" t="s">
        <v>24</v>
      </c>
      <c r="E387" s="17"/>
      <c r="F387" s="264">
        <v>39516.199999999997</v>
      </c>
      <c r="G387" s="17"/>
      <c r="H387" s="17">
        <v>4358.4359999999997</v>
      </c>
      <c r="I387" s="17"/>
      <c r="J387" s="17">
        <v>11.03</v>
      </c>
    </row>
    <row r="388" spans="1:14" ht="22.5" x14ac:dyDescent="0.2">
      <c r="A388" s="15" t="s">
        <v>996</v>
      </c>
      <c r="B388" s="16" t="s">
        <v>998</v>
      </c>
      <c r="C388" s="16" t="s">
        <v>1000</v>
      </c>
      <c r="D388" s="16" t="s">
        <v>24</v>
      </c>
      <c r="E388" s="17"/>
      <c r="F388" s="264">
        <v>35524.699999999997</v>
      </c>
      <c r="G388" s="17"/>
      <c r="H388" s="17"/>
      <c r="I388" s="17"/>
      <c r="J388" s="17"/>
    </row>
    <row r="389" spans="1:14" x14ac:dyDescent="0.2">
      <c r="A389" s="164" t="s">
        <v>382</v>
      </c>
      <c r="B389" s="165" t="s">
        <v>383</v>
      </c>
      <c r="C389" s="165"/>
      <c r="D389" s="165"/>
      <c r="E389" s="106"/>
      <c r="F389" s="263">
        <v>2526.62</v>
      </c>
      <c r="G389" s="163">
        <v>2471.8200000000002</v>
      </c>
      <c r="H389" s="106">
        <v>2526.62</v>
      </c>
      <c r="I389" s="106"/>
      <c r="J389" s="106">
        <v>100</v>
      </c>
      <c r="K389" s="67"/>
      <c r="L389" s="67"/>
      <c r="M389" s="67"/>
      <c r="N389" s="67"/>
    </row>
    <row r="390" spans="1:14" ht="22.5" x14ac:dyDescent="0.2">
      <c r="A390" s="11" t="s">
        <v>384</v>
      </c>
      <c r="B390" s="12" t="s">
        <v>1001</v>
      </c>
      <c r="C390" s="12"/>
      <c r="D390" s="12"/>
      <c r="E390" s="13"/>
      <c r="F390" s="263">
        <v>2526.62</v>
      </c>
      <c r="G390" s="13">
        <v>2471.8200000000002</v>
      </c>
      <c r="H390" s="13">
        <v>2526.62</v>
      </c>
      <c r="I390" s="13"/>
      <c r="J390" s="13">
        <v>100</v>
      </c>
    </row>
    <row r="391" spans="1:14" ht="45" x14ac:dyDescent="0.2">
      <c r="A391" s="11" t="s">
        <v>386</v>
      </c>
      <c r="B391" s="12" t="s">
        <v>1002</v>
      </c>
      <c r="C391" s="12"/>
      <c r="D391" s="12"/>
      <c r="E391" s="13"/>
      <c r="F391" s="263">
        <v>0.3</v>
      </c>
      <c r="G391" s="13"/>
      <c r="H391" s="13">
        <v>0.3</v>
      </c>
      <c r="I391" s="13"/>
      <c r="J391" s="13">
        <v>100</v>
      </c>
    </row>
    <row r="392" spans="1:14" ht="33.75" x14ac:dyDescent="0.2">
      <c r="A392" s="15" t="s">
        <v>386</v>
      </c>
      <c r="B392" s="16" t="s">
        <v>1003</v>
      </c>
      <c r="C392" s="16" t="s">
        <v>23</v>
      </c>
      <c r="D392" s="16" t="s">
        <v>24</v>
      </c>
      <c r="E392" s="17"/>
      <c r="F392" s="264">
        <v>0.3</v>
      </c>
      <c r="G392" s="17"/>
      <c r="H392" s="17">
        <v>0.3</v>
      </c>
      <c r="I392" s="17"/>
      <c r="J392" s="17">
        <v>100</v>
      </c>
    </row>
    <row r="393" spans="1:14" ht="22.5" x14ac:dyDescent="0.2">
      <c r="A393" s="11" t="s">
        <v>384</v>
      </c>
      <c r="B393" s="12" t="s">
        <v>1004</v>
      </c>
      <c r="C393" s="12"/>
      <c r="D393" s="12"/>
      <c r="E393" s="13"/>
      <c r="F393" s="263">
        <v>2526.3200000000002</v>
      </c>
      <c r="G393" s="13">
        <v>2471.8200000000002</v>
      </c>
      <c r="H393" s="13">
        <v>2526.3200000000002</v>
      </c>
      <c r="I393" s="13"/>
      <c r="J393" s="13">
        <v>100</v>
      </c>
    </row>
    <row r="394" spans="1:14" ht="22.5" x14ac:dyDescent="0.2">
      <c r="A394" s="15" t="s">
        <v>384</v>
      </c>
      <c r="B394" s="16" t="s">
        <v>1005</v>
      </c>
      <c r="C394" s="16" t="s">
        <v>23</v>
      </c>
      <c r="D394" s="16" t="s">
        <v>24</v>
      </c>
      <c r="E394" s="17"/>
      <c r="F394" s="264">
        <v>10</v>
      </c>
      <c r="G394" s="17"/>
      <c r="H394" s="17">
        <v>10</v>
      </c>
      <c r="I394" s="17"/>
      <c r="J394" s="17">
        <v>100</v>
      </c>
    </row>
    <row r="395" spans="1:14" ht="22.5" x14ac:dyDescent="0.2">
      <c r="A395" s="15" t="s">
        <v>384</v>
      </c>
      <c r="B395" s="16" t="s">
        <v>1006</v>
      </c>
      <c r="C395" s="16" t="s">
        <v>23</v>
      </c>
      <c r="D395" s="16" t="s">
        <v>24</v>
      </c>
      <c r="E395" s="17"/>
      <c r="F395" s="264">
        <v>44.5</v>
      </c>
      <c r="G395" s="17"/>
      <c r="H395" s="17">
        <v>44.5</v>
      </c>
      <c r="I395" s="17"/>
      <c r="J395" s="17">
        <v>100</v>
      </c>
    </row>
    <row r="396" spans="1:14" ht="22.5" x14ac:dyDescent="0.2">
      <c r="A396" s="15" t="s">
        <v>384</v>
      </c>
      <c r="B396" s="16" t="s">
        <v>1084</v>
      </c>
      <c r="C396" s="16" t="s">
        <v>23</v>
      </c>
      <c r="D396" s="16" t="s">
        <v>24</v>
      </c>
      <c r="E396" s="17"/>
      <c r="F396" s="264">
        <v>2471.8200000000002</v>
      </c>
      <c r="G396" s="17">
        <v>2471.8200000000002</v>
      </c>
      <c r="H396" s="17">
        <v>2471.8200000000002</v>
      </c>
      <c r="I396" s="17"/>
      <c r="J396" s="17">
        <v>100</v>
      </c>
    </row>
    <row r="397" spans="1:14" ht="33.75" x14ac:dyDescent="0.2">
      <c r="A397" s="164" t="s">
        <v>389</v>
      </c>
      <c r="B397" s="165" t="s">
        <v>390</v>
      </c>
      <c r="C397" s="165"/>
      <c r="D397" s="165"/>
      <c r="E397" s="106"/>
      <c r="F397" s="263">
        <v>-6318.3770000000004</v>
      </c>
      <c r="G397" s="163">
        <v>-1612.7909999999999</v>
      </c>
      <c r="H397" s="106">
        <v>-7931.1679999999997</v>
      </c>
      <c r="I397" s="106"/>
      <c r="J397" s="106">
        <v>125.52500000000001</v>
      </c>
      <c r="K397" s="67"/>
      <c r="L397" s="67"/>
      <c r="M397" s="67"/>
      <c r="N397" s="67"/>
    </row>
    <row r="398" spans="1:14" ht="45" x14ac:dyDescent="0.2">
      <c r="A398" s="11" t="s">
        <v>391</v>
      </c>
      <c r="B398" s="12" t="s">
        <v>1007</v>
      </c>
      <c r="C398" s="12"/>
      <c r="D398" s="12"/>
      <c r="E398" s="13"/>
      <c r="F398" s="263">
        <v>-6318.3770000000004</v>
      </c>
      <c r="G398" s="13">
        <v>-1612.7909999999999</v>
      </c>
      <c r="H398" s="13">
        <v>-7931.1679999999997</v>
      </c>
      <c r="I398" s="13"/>
      <c r="J398" s="13">
        <v>125.52500000000001</v>
      </c>
    </row>
    <row r="399" spans="1:14" ht="45" x14ac:dyDescent="0.2">
      <c r="A399" s="11" t="s">
        <v>505</v>
      </c>
      <c r="B399" s="12" t="s">
        <v>1008</v>
      </c>
      <c r="C399" s="12"/>
      <c r="D399" s="12"/>
      <c r="E399" s="13"/>
      <c r="F399" s="263">
        <v>-6318.3770000000004</v>
      </c>
      <c r="G399" s="13">
        <v>-1612.7909999999999</v>
      </c>
      <c r="H399" s="13">
        <v>-7931.1679999999997</v>
      </c>
      <c r="I399" s="13"/>
      <c r="J399" s="13">
        <v>125.52500000000001</v>
      </c>
    </row>
    <row r="400" spans="1:14" ht="45" x14ac:dyDescent="0.2">
      <c r="A400" s="15" t="s">
        <v>505</v>
      </c>
      <c r="B400" s="16" t="s">
        <v>1009</v>
      </c>
      <c r="C400" s="16" t="s">
        <v>23</v>
      </c>
      <c r="D400" s="16" t="s">
        <v>24</v>
      </c>
      <c r="E400" s="17"/>
      <c r="F400" s="264">
        <v>-4958.0860000000002</v>
      </c>
      <c r="G400" s="17">
        <v>-1612.7909999999999</v>
      </c>
      <c r="H400" s="17">
        <v>-6570.8770000000004</v>
      </c>
      <c r="I400" s="17"/>
      <c r="J400" s="17">
        <v>132.529</v>
      </c>
    </row>
    <row r="401" spans="1:14" ht="45" x14ac:dyDescent="0.2">
      <c r="A401" s="15" t="s">
        <v>505</v>
      </c>
      <c r="B401" s="16" t="s">
        <v>1010</v>
      </c>
      <c r="C401" s="16" t="s">
        <v>23</v>
      </c>
      <c r="D401" s="16" t="s">
        <v>24</v>
      </c>
      <c r="E401" s="17"/>
      <c r="F401" s="264">
        <v>-444.61399999999998</v>
      </c>
      <c r="G401" s="17"/>
      <c r="H401" s="17">
        <v>-444.61399999999998</v>
      </c>
      <c r="I401" s="17"/>
      <c r="J401" s="17">
        <v>100</v>
      </c>
    </row>
    <row r="402" spans="1:14" ht="45" x14ac:dyDescent="0.2">
      <c r="A402" s="15" t="s">
        <v>505</v>
      </c>
      <c r="B402" s="16" t="s">
        <v>1011</v>
      </c>
      <c r="C402" s="16" t="s">
        <v>23</v>
      </c>
      <c r="D402" s="16" t="s">
        <v>24</v>
      </c>
      <c r="E402" s="17"/>
      <c r="F402" s="264">
        <v>-751.18</v>
      </c>
      <c r="G402" s="17"/>
      <c r="H402" s="17">
        <v>-751.18</v>
      </c>
      <c r="I402" s="17"/>
      <c r="J402" s="17">
        <v>100</v>
      </c>
    </row>
    <row r="403" spans="1:14" ht="45" x14ac:dyDescent="0.2">
      <c r="A403" s="15" t="s">
        <v>505</v>
      </c>
      <c r="B403" s="16" t="s">
        <v>1012</v>
      </c>
      <c r="C403" s="16" t="s">
        <v>23</v>
      </c>
      <c r="D403" s="16" t="s">
        <v>24</v>
      </c>
      <c r="E403" s="17"/>
      <c r="F403" s="264">
        <v>-96.625</v>
      </c>
      <c r="G403" s="17"/>
      <c r="H403" s="17">
        <v>-96.625</v>
      </c>
      <c r="I403" s="17"/>
      <c r="J403" s="17">
        <v>100</v>
      </c>
    </row>
    <row r="404" spans="1:14" ht="45" x14ac:dyDescent="0.2">
      <c r="A404" s="15" t="s">
        <v>505</v>
      </c>
      <c r="B404" s="16" t="s">
        <v>1013</v>
      </c>
      <c r="C404" s="16" t="s">
        <v>23</v>
      </c>
      <c r="D404" s="16" t="s">
        <v>24</v>
      </c>
      <c r="E404" s="17"/>
      <c r="F404" s="264">
        <v>-66.186999999999998</v>
      </c>
      <c r="G404" s="17"/>
      <c r="H404" s="17">
        <v>-66.186999999999998</v>
      </c>
      <c r="I404" s="17"/>
      <c r="J404" s="17">
        <v>100</v>
      </c>
    </row>
    <row r="405" spans="1:14" ht="45" x14ac:dyDescent="0.2">
      <c r="A405" s="15" t="s">
        <v>505</v>
      </c>
      <c r="B405" s="16" t="s">
        <v>1014</v>
      </c>
      <c r="C405" s="16" t="s">
        <v>23</v>
      </c>
      <c r="D405" s="16" t="s">
        <v>24</v>
      </c>
      <c r="E405" s="17"/>
      <c r="F405" s="264">
        <v>-1.6859999999999999</v>
      </c>
      <c r="G405" s="17"/>
      <c r="H405" s="17">
        <v>-1.6859999999999999</v>
      </c>
      <c r="I405" s="17"/>
      <c r="J405" s="17">
        <v>100</v>
      </c>
    </row>
    <row r="406" spans="1:14" x14ac:dyDescent="0.2">
      <c r="A406" s="164" t="s">
        <v>392</v>
      </c>
      <c r="B406" s="165"/>
      <c r="C406" s="165"/>
      <c r="D406" s="165"/>
      <c r="E406" s="106">
        <v>2003471.6939999999</v>
      </c>
      <c r="F406" s="263">
        <v>2542963.3960000002</v>
      </c>
      <c r="G406" s="163">
        <v>215931.89199999999</v>
      </c>
      <c r="H406" s="106">
        <v>1762001.4739999999</v>
      </c>
      <c r="I406" s="106">
        <v>87.947000000000003</v>
      </c>
      <c r="J406" s="106">
        <v>69.289000000000001</v>
      </c>
      <c r="K406" s="67"/>
      <c r="L406" s="67"/>
      <c r="M406" s="67"/>
      <c r="N406" s="67"/>
    </row>
  </sheetData>
  <mergeCells count="14">
    <mergeCell ref="B9:J9"/>
    <mergeCell ref="A2:H2"/>
    <mergeCell ref="A4:J4"/>
    <mergeCell ref="A5:J5"/>
    <mergeCell ref="B7:J7"/>
    <mergeCell ref="B8:J8"/>
    <mergeCell ref="F11:F12"/>
    <mergeCell ref="G11:G12"/>
    <mergeCell ref="H11:H12"/>
    <mergeCell ref="A11:A12"/>
    <mergeCell ref="B11:B12"/>
    <mergeCell ref="C11:C12"/>
    <mergeCell ref="D11:D12"/>
    <mergeCell ref="E11:E12"/>
  </mergeCells>
  <pageMargins left="0.59055118110236227" right="0.59055118110236227" top="0.59055118110236227" bottom="0.59055118110236227" header="0" footer="0"/>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10"/>
  <sheetViews>
    <sheetView showGridLines="0" tabSelected="1" view="pageBreakPreview" zoomScaleSheetLayoutView="100" workbookViewId="0">
      <pane xSplit="1" ySplit="3" topLeftCell="B89" activePane="bottomRight" state="frozen"/>
      <selection pane="topRight" activeCell="B1" sqref="B1"/>
      <selection pane="bottomLeft" activeCell="A4" sqref="A4"/>
      <selection pane="bottomRight" activeCell="A79" sqref="A79"/>
    </sheetView>
  </sheetViews>
  <sheetFormatPr defaultRowHeight="12.75" customHeight="1" x14ac:dyDescent="0.2"/>
  <cols>
    <col min="1" max="1" width="32.42578125" style="24" customWidth="1"/>
    <col min="2" max="2" width="13" style="24" customWidth="1"/>
    <col min="3" max="3" width="21" style="24" customWidth="1"/>
    <col min="4" max="4" width="31.42578125" style="24" customWidth="1"/>
    <col min="5" max="5" width="20" style="24" customWidth="1"/>
    <col min="6" max="6" width="16.7109375" style="100" hidden="1" customWidth="1"/>
    <col min="7" max="8" width="18.28515625" style="130" customWidth="1"/>
    <col min="9" max="9" width="15.85546875" style="131" customWidth="1"/>
    <col min="10" max="13" width="16.42578125" style="131" customWidth="1"/>
    <col min="14" max="14" width="11.28515625" style="241" bestFit="1" customWidth="1"/>
    <col min="15" max="15" width="13.5703125" style="242" bestFit="1" customWidth="1"/>
    <col min="16" max="17" width="12" style="243" customWidth="1"/>
    <col min="18" max="23" width="12" style="24" customWidth="1"/>
    <col min="24" max="16384" width="9.140625" style="24"/>
  </cols>
  <sheetData>
    <row r="1" spans="1:24" s="26" customFormat="1" ht="34.5" customHeight="1" x14ac:dyDescent="0.2">
      <c r="A1" s="332" t="s">
        <v>831</v>
      </c>
      <c r="B1" s="332"/>
      <c r="C1" s="332"/>
      <c r="D1" s="332"/>
      <c r="E1" s="332"/>
      <c r="F1" s="332"/>
      <c r="G1" s="332"/>
      <c r="H1" s="332"/>
      <c r="I1" s="332"/>
      <c r="J1" s="332"/>
      <c r="K1" s="332"/>
      <c r="L1" s="121" t="s">
        <v>399</v>
      </c>
      <c r="M1" s="121"/>
      <c r="N1" s="254"/>
      <c r="O1" s="255"/>
      <c r="P1" s="256"/>
      <c r="Q1" s="256"/>
    </row>
    <row r="2" spans="1:24" s="26" customFormat="1" ht="24.75" customHeight="1" x14ac:dyDescent="0.2">
      <c r="A2" s="333" t="s">
        <v>393</v>
      </c>
      <c r="B2" s="333" t="s">
        <v>832</v>
      </c>
      <c r="C2" s="333" t="s">
        <v>396</v>
      </c>
      <c r="D2" s="333"/>
      <c r="E2" s="333" t="s">
        <v>395</v>
      </c>
      <c r="F2" s="334" t="s">
        <v>599</v>
      </c>
      <c r="G2" s="335" t="s">
        <v>1064</v>
      </c>
      <c r="H2" s="335" t="s">
        <v>833</v>
      </c>
      <c r="I2" s="335" t="s">
        <v>834</v>
      </c>
      <c r="J2" s="335" t="s">
        <v>398</v>
      </c>
      <c r="K2" s="335"/>
      <c r="L2" s="335"/>
      <c r="M2" s="268"/>
      <c r="N2" s="254"/>
      <c r="O2" s="255"/>
      <c r="P2" s="256"/>
      <c r="Q2" s="256"/>
    </row>
    <row r="3" spans="1:24" ht="86.25" customHeight="1" x14ac:dyDescent="0.2">
      <c r="A3" s="333"/>
      <c r="B3" s="333"/>
      <c r="C3" s="101" t="s">
        <v>397</v>
      </c>
      <c r="D3" s="101" t="s">
        <v>394</v>
      </c>
      <c r="E3" s="333"/>
      <c r="F3" s="334"/>
      <c r="G3" s="335"/>
      <c r="H3" s="335"/>
      <c r="I3" s="335"/>
      <c r="J3" s="132" t="s">
        <v>835</v>
      </c>
      <c r="K3" s="132" t="s">
        <v>836</v>
      </c>
      <c r="L3" s="132" t="s">
        <v>837</v>
      </c>
      <c r="M3" s="268"/>
    </row>
    <row r="4" spans="1:24" ht="12" x14ac:dyDescent="0.2">
      <c r="A4" s="20" t="s">
        <v>19</v>
      </c>
      <c r="B4" s="48"/>
      <c r="C4" s="25"/>
      <c r="D4" s="49"/>
      <c r="E4" s="49"/>
      <c r="F4" s="92"/>
      <c r="G4" s="122"/>
      <c r="H4" s="122"/>
      <c r="I4" s="122"/>
      <c r="J4" s="122"/>
      <c r="K4" s="122"/>
      <c r="L4" s="122"/>
      <c r="M4" s="269"/>
      <c r="O4" s="242">
        <v>441183.3</v>
      </c>
      <c r="P4" s="242">
        <v>475154.4</v>
      </c>
      <c r="Q4" s="242">
        <v>512216.4</v>
      </c>
    </row>
    <row r="5" spans="1:24" ht="96" x14ac:dyDescent="0.2">
      <c r="A5" s="20"/>
      <c r="B5" s="197"/>
      <c r="C5" s="198" t="s">
        <v>1015</v>
      </c>
      <c r="D5" s="199" t="s">
        <v>401</v>
      </c>
      <c r="E5" s="25"/>
      <c r="F5" s="92"/>
      <c r="G5" s="133">
        <f>G6</f>
        <v>375602.91499999998</v>
      </c>
      <c r="H5" s="145">
        <f t="shared" ref="H5:L5" si="0">H6</f>
        <v>284296.951</v>
      </c>
      <c r="I5" s="237">
        <v>401504.8</v>
      </c>
      <c r="J5" s="247">
        <f t="shared" si="0"/>
        <v>429147.8</v>
      </c>
      <c r="K5" s="247">
        <f t="shared" si="0"/>
        <v>462192.1</v>
      </c>
      <c r="L5" s="247">
        <f t="shared" si="0"/>
        <v>498243.1</v>
      </c>
      <c r="M5" s="241">
        <f>H5+H10+H15+H20</f>
        <v>292270.10399999999</v>
      </c>
      <c r="N5" s="241">
        <f>I5+I10+I15+I20</f>
        <v>413092.89999999997</v>
      </c>
      <c r="O5" s="241">
        <f>J5+J10+J15+J20</f>
        <v>441183.3</v>
      </c>
      <c r="P5" s="241">
        <f t="shared" ref="P5" si="1">K5+K10+K15+K20</f>
        <v>475154.39999999997</v>
      </c>
      <c r="Q5" s="241">
        <f>L5+L10+L15+L20</f>
        <v>512216.4</v>
      </c>
      <c r="R5" s="120"/>
      <c r="S5" s="120"/>
      <c r="T5" s="120"/>
      <c r="U5" s="120"/>
      <c r="V5" s="120"/>
      <c r="W5" s="120"/>
      <c r="X5" s="120"/>
    </row>
    <row r="6" spans="1:24" ht="132" x14ac:dyDescent="0.2">
      <c r="A6" s="22" t="s">
        <v>25</v>
      </c>
      <c r="B6" s="329" t="s">
        <v>400</v>
      </c>
      <c r="C6" s="295" t="s">
        <v>602</v>
      </c>
      <c r="D6" s="336" t="s">
        <v>401</v>
      </c>
      <c r="E6" s="295" t="s">
        <v>402</v>
      </c>
      <c r="F6" s="308">
        <v>332277.36599999998</v>
      </c>
      <c r="G6" s="291">
        <v>375602.91499999998</v>
      </c>
      <c r="H6" s="291">
        <v>284296.951</v>
      </c>
      <c r="I6" s="291">
        <v>401504.8</v>
      </c>
      <c r="J6" s="291">
        <v>429147.8</v>
      </c>
      <c r="K6" s="291">
        <v>462192.1</v>
      </c>
      <c r="L6" s="291">
        <v>498243.1</v>
      </c>
      <c r="M6" s="280">
        <f>H5/M5</f>
        <v>0.97271991595828766</v>
      </c>
      <c r="N6" s="257"/>
      <c r="O6" s="281">
        <f>O4*M6</f>
        <v>429147.78249820002</v>
      </c>
      <c r="P6" s="281">
        <f>P4*M6</f>
        <v>462192.14803521062</v>
      </c>
      <c r="Q6" s="279">
        <f>Q4*M6</f>
        <v>498243.09356045671</v>
      </c>
    </row>
    <row r="7" spans="1:24" ht="108" x14ac:dyDescent="0.2">
      <c r="A7" s="22" t="s">
        <v>28</v>
      </c>
      <c r="B7" s="330"/>
      <c r="C7" s="313"/>
      <c r="D7" s="337"/>
      <c r="E7" s="313"/>
      <c r="F7" s="315"/>
      <c r="G7" s="312"/>
      <c r="H7" s="312"/>
      <c r="I7" s="312"/>
      <c r="J7" s="312"/>
      <c r="K7" s="312"/>
      <c r="L7" s="312"/>
      <c r="M7" s="280">
        <f>H10/M5</f>
        <v>3.4842256736597322E-3</v>
      </c>
      <c r="O7" s="279">
        <f>O4*M7</f>
        <v>1537.1821806499238</v>
      </c>
      <c r="P7" s="279">
        <f>P4*M7</f>
        <v>1655.5451594323861</v>
      </c>
      <c r="Q7" s="279">
        <f>Q4*M7</f>
        <v>1784.677531349563</v>
      </c>
    </row>
    <row r="8" spans="1:24" ht="132" x14ac:dyDescent="0.2">
      <c r="A8" s="22" t="s">
        <v>31</v>
      </c>
      <c r="B8" s="330"/>
      <c r="C8" s="313"/>
      <c r="D8" s="337"/>
      <c r="E8" s="313"/>
      <c r="F8" s="315"/>
      <c r="G8" s="312"/>
      <c r="H8" s="312"/>
      <c r="I8" s="312"/>
      <c r="J8" s="312"/>
      <c r="K8" s="312"/>
      <c r="L8" s="312"/>
      <c r="M8" s="280">
        <f>H15/M5</f>
        <v>2.5287293838305133E-3</v>
      </c>
      <c r="O8" s="279">
        <f>M8*O4</f>
        <v>1115.6331743653125</v>
      </c>
      <c r="P8" s="279">
        <f>P4*M8</f>
        <v>1201.5368931363573</v>
      </c>
      <c r="Q8" s="279">
        <f>Q4*M8</f>
        <v>1295.2566615598839</v>
      </c>
    </row>
    <row r="9" spans="1:24" ht="108" x14ac:dyDescent="0.2">
      <c r="A9" s="22" t="s">
        <v>34</v>
      </c>
      <c r="B9" s="331"/>
      <c r="C9" s="296"/>
      <c r="D9" s="338"/>
      <c r="E9" s="296"/>
      <c r="F9" s="309"/>
      <c r="G9" s="292"/>
      <c r="H9" s="292"/>
      <c r="I9" s="292"/>
      <c r="J9" s="292"/>
      <c r="K9" s="292"/>
      <c r="L9" s="292"/>
      <c r="M9" s="280">
        <f>H20/M5</f>
        <v>2.1267128984222075E-2</v>
      </c>
      <c r="O9" s="279">
        <f>O4*M9</f>
        <v>9382.7021467847426</v>
      </c>
      <c r="P9" s="279">
        <f>P4*M9</f>
        <v>10105.16991222065</v>
      </c>
      <c r="Q9" s="279">
        <f>Q4*M9</f>
        <v>10893.372246633888</v>
      </c>
    </row>
    <row r="10" spans="1:24" ht="132" x14ac:dyDescent="0.2">
      <c r="A10" s="22"/>
      <c r="B10" s="136"/>
      <c r="C10" s="138" t="s">
        <v>1016</v>
      </c>
      <c r="D10" s="143" t="s">
        <v>403</v>
      </c>
      <c r="E10" s="138"/>
      <c r="F10" s="141"/>
      <c r="G10" s="134">
        <f>G11</f>
        <v>1277.8209999999999</v>
      </c>
      <c r="H10" s="150">
        <f t="shared" ref="H10:L10" si="2">H11</f>
        <v>1018.335</v>
      </c>
      <c r="I10" s="239">
        <f t="shared" si="2"/>
        <v>1555.1</v>
      </c>
      <c r="J10" s="248">
        <f t="shared" si="2"/>
        <v>1537.2</v>
      </c>
      <c r="K10" s="248">
        <f t="shared" si="2"/>
        <v>1655.6</v>
      </c>
      <c r="L10" s="248">
        <f t="shared" si="2"/>
        <v>1784.7</v>
      </c>
      <c r="M10" s="270"/>
      <c r="O10" s="257"/>
    </row>
    <row r="11" spans="1:24" ht="168" x14ac:dyDescent="0.2">
      <c r="A11" s="22" t="s">
        <v>40</v>
      </c>
      <c r="B11" s="329" t="s">
        <v>400</v>
      </c>
      <c r="C11" s="295" t="s">
        <v>603</v>
      </c>
      <c r="D11" s="320" t="s">
        <v>403</v>
      </c>
      <c r="E11" s="295" t="s">
        <v>402</v>
      </c>
      <c r="F11" s="308">
        <v>945.07100000000003</v>
      </c>
      <c r="G11" s="291">
        <v>1277.8209999999999</v>
      </c>
      <c r="H11" s="291">
        <v>1018.335</v>
      </c>
      <c r="I11" s="291">
        <v>1555.1</v>
      </c>
      <c r="J11" s="291">
        <v>1537.2</v>
      </c>
      <c r="K11" s="291">
        <v>1655.6</v>
      </c>
      <c r="L11" s="291">
        <v>1784.7</v>
      </c>
      <c r="M11" s="270"/>
      <c r="O11" s="257"/>
    </row>
    <row r="12" spans="1:24" ht="144" x14ac:dyDescent="0.2">
      <c r="A12" s="22" t="s">
        <v>43</v>
      </c>
      <c r="B12" s="330"/>
      <c r="C12" s="313"/>
      <c r="D12" s="321"/>
      <c r="E12" s="313"/>
      <c r="F12" s="315"/>
      <c r="G12" s="312"/>
      <c r="H12" s="312"/>
      <c r="I12" s="312"/>
      <c r="J12" s="312"/>
      <c r="K12" s="312"/>
      <c r="L12" s="312"/>
      <c r="M12" s="270"/>
      <c r="O12" s="257"/>
    </row>
    <row r="13" spans="1:24" ht="168" x14ac:dyDescent="0.2">
      <c r="A13" s="22" t="s">
        <v>46</v>
      </c>
      <c r="B13" s="330"/>
      <c r="C13" s="313"/>
      <c r="D13" s="321"/>
      <c r="E13" s="313"/>
      <c r="F13" s="315"/>
      <c r="G13" s="312"/>
      <c r="H13" s="312"/>
      <c r="I13" s="312"/>
      <c r="J13" s="312"/>
      <c r="K13" s="312"/>
      <c r="L13" s="312"/>
      <c r="M13" s="270"/>
      <c r="O13" s="257"/>
    </row>
    <row r="14" spans="1:24" ht="144" x14ac:dyDescent="0.2">
      <c r="A14" s="22" t="s">
        <v>49</v>
      </c>
      <c r="B14" s="331"/>
      <c r="C14" s="296"/>
      <c r="D14" s="322"/>
      <c r="E14" s="296"/>
      <c r="F14" s="309"/>
      <c r="G14" s="292"/>
      <c r="H14" s="292"/>
      <c r="I14" s="292"/>
      <c r="J14" s="292"/>
      <c r="K14" s="292"/>
      <c r="L14" s="292"/>
      <c r="M14" s="270"/>
      <c r="O14" s="257"/>
    </row>
    <row r="15" spans="1:24" ht="60" x14ac:dyDescent="0.2">
      <c r="A15" s="22"/>
      <c r="B15" s="136"/>
      <c r="C15" s="138" t="s">
        <v>1017</v>
      </c>
      <c r="D15" s="140" t="s">
        <v>404</v>
      </c>
      <c r="E15" s="138"/>
      <c r="F15" s="141"/>
      <c r="G15" s="134">
        <f>G16</f>
        <v>1861.0129999999999</v>
      </c>
      <c r="H15" s="150">
        <f t="shared" ref="H15:L15" si="3">H16</f>
        <v>739.072</v>
      </c>
      <c r="I15" s="239">
        <f t="shared" si="3"/>
        <v>2721.5</v>
      </c>
      <c r="J15" s="248">
        <f t="shared" si="3"/>
        <v>1115.5999999999999</v>
      </c>
      <c r="K15" s="248">
        <f t="shared" si="3"/>
        <v>1201.5</v>
      </c>
      <c r="L15" s="248">
        <f t="shared" si="3"/>
        <v>1295.2</v>
      </c>
      <c r="M15" s="270"/>
      <c r="O15" s="257"/>
    </row>
    <row r="16" spans="1:24" ht="96" x14ac:dyDescent="0.2">
      <c r="A16" s="23" t="s">
        <v>53</v>
      </c>
      <c r="B16" s="329" t="s">
        <v>400</v>
      </c>
      <c r="C16" s="295" t="s">
        <v>601</v>
      </c>
      <c r="D16" s="297" t="s">
        <v>404</v>
      </c>
      <c r="E16" s="295" t="s">
        <v>402</v>
      </c>
      <c r="F16" s="308">
        <v>904.06500000000005</v>
      </c>
      <c r="G16" s="291">
        <v>1861.0129999999999</v>
      </c>
      <c r="H16" s="291">
        <v>739.072</v>
      </c>
      <c r="I16" s="291">
        <v>2721.5</v>
      </c>
      <c r="J16" s="291">
        <v>1115.5999999999999</v>
      </c>
      <c r="K16" s="291">
        <v>1201.5</v>
      </c>
      <c r="L16" s="291">
        <v>1295.2</v>
      </c>
      <c r="M16" s="270"/>
    </row>
    <row r="17" spans="1:17" ht="72" x14ac:dyDescent="0.2">
      <c r="A17" s="23" t="s">
        <v>56</v>
      </c>
      <c r="B17" s="330"/>
      <c r="C17" s="313"/>
      <c r="D17" s="314"/>
      <c r="E17" s="313"/>
      <c r="F17" s="315"/>
      <c r="G17" s="312"/>
      <c r="H17" s="312"/>
      <c r="I17" s="312"/>
      <c r="J17" s="312"/>
      <c r="K17" s="312"/>
      <c r="L17" s="312"/>
      <c r="M17" s="270"/>
    </row>
    <row r="18" spans="1:17" ht="96" x14ac:dyDescent="0.2">
      <c r="A18" s="23" t="s">
        <v>59</v>
      </c>
      <c r="B18" s="330"/>
      <c r="C18" s="313"/>
      <c r="D18" s="314"/>
      <c r="E18" s="313"/>
      <c r="F18" s="315"/>
      <c r="G18" s="312"/>
      <c r="H18" s="312"/>
      <c r="I18" s="312"/>
      <c r="J18" s="312"/>
      <c r="K18" s="312"/>
      <c r="L18" s="312"/>
      <c r="M18" s="270"/>
    </row>
    <row r="19" spans="1:17" ht="60" x14ac:dyDescent="0.2">
      <c r="A19" s="23" t="s">
        <v>62</v>
      </c>
      <c r="B19" s="331"/>
      <c r="C19" s="296"/>
      <c r="D19" s="298"/>
      <c r="E19" s="296"/>
      <c r="F19" s="309"/>
      <c r="G19" s="292"/>
      <c r="H19" s="292"/>
      <c r="I19" s="292"/>
      <c r="J19" s="292"/>
      <c r="K19" s="292"/>
      <c r="L19" s="292"/>
      <c r="M19" s="270"/>
    </row>
    <row r="20" spans="1:17" ht="108" x14ac:dyDescent="0.2">
      <c r="A20" s="23"/>
      <c r="B20" s="137"/>
      <c r="C20" s="139" t="s">
        <v>1018</v>
      </c>
      <c r="D20" s="144" t="s">
        <v>65</v>
      </c>
      <c r="E20" s="139"/>
      <c r="F20" s="142"/>
      <c r="G20" s="135">
        <f>G21</f>
        <v>6965.9870000000001</v>
      </c>
      <c r="H20" s="146">
        <f t="shared" ref="H20:L20" si="4">H21</f>
        <v>6215.7460000000001</v>
      </c>
      <c r="I20" s="238">
        <f t="shared" si="4"/>
        <v>7311.5</v>
      </c>
      <c r="J20" s="249">
        <f t="shared" si="4"/>
        <v>9382.7000000000007</v>
      </c>
      <c r="K20" s="249">
        <f t="shared" si="4"/>
        <v>10105.200000000001</v>
      </c>
      <c r="L20" s="249">
        <f t="shared" si="4"/>
        <v>10893.4</v>
      </c>
      <c r="M20" s="270"/>
    </row>
    <row r="21" spans="1:17" ht="144" x14ac:dyDescent="0.2">
      <c r="A21" s="22" t="s">
        <v>68</v>
      </c>
      <c r="B21" s="30" t="s">
        <v>794</v>
      </c>
      <c r="C21" s="28" t="s">
        <v>600</v>
      </c>
      <c r="D21" s="22" t="s">
        <v>65</v>
      </c>
      <c r="E21" s="28" t="s">
        <v>402</v>
      </c>
      <c r="F21" s="52">
        <v>5855.6239999999998</v>
      </c>
      <c r="G21" s="123">
        <v>6965.9870000000001</v>
      </c>
      <c r="H21" s="123">
        <v>6215.7460000000001</v>
      </c>
      <c r="I21" s="123">
        <v>7311.5</v>
      </c>
      <c r="J21" s="123">
        <v>9382.7000000000007</v>
      </c>
      <c r="K21" s="123">
        <v>10105.200000000001</v>
      </c>
      <c r="L21" s="123">
        <v>10893.4</v>
      </c>
      <c r="M21" s="270"/>
    </row>
    <row r="22" spans="1:17" ht="96" x14ac:dyDescent="0.2">
      <c r="A22" s="21" t="s">
        <v>418</v>
      </c>
      <c r="B22" s="30"/>
      <c r="C22" s="28"/>
      <c r="D22" s="22"/>
      <c r="E22" s="28"/>
      <c r="F22" s="95"/>
      <c r="G22" s="125"/>
      <c r="H22" s="125"/>
      <c r="I22" s="253"/>
      <c r="J22" s="126"/>
      <c r="K22" s="126"/>
      <c r="L22" s="126"/>
      <c r="M22" s="271"/>
      <c r="O22" s="282">
        <v>8309.7000000000007</v>
      </c>
      <c r="P22" s="282">
        <v>8391</v>
      </c>
      <c r="Q22" s="282">
        <v>8795.1</v>
      </c>
    </row>
    <row r="23" spans="1:17" ht="96" x14ac:dyDescent="0.2">
      <c r="A23" s="21"/>
      <c r="B23" s="151"/>
      <c r="C23" s="28" t="s">
        <v>1019</v>
      </c>
      <c r="D23" s="22" t="s">
        <v>406</v>
      </c>
      <c r="E23" s="28"/>
      <c r="F23" s="95"/>
      <c r="G23" s="123">
        <f>G24</f>
        <v>962.18200000000002</v>
      </c>
      <c r="H23" s="123">
        <f t="shared" ref="H23:L23" si="5">H24</f>
        <v>2554.9070000000002</v>
      </c>
      <c r="I23" s="123">
        <f t="shared" si="5"/>
        <v>3490.078</v>
      </c>
      <c r="J23" s="123">
        <f t="shared" si="5"/>
        <v>3795.5</v>
      </c>
      <c r="K23" s="123">
        <f t="shared" si="5"/>
        <v>3832.7</v>
      </c>
      <c r="L23" s="123">
        <f t="shared" si="5"/>
        <v>4017.2</v>
      </c>
      <c r="M23" s="241">
        <f>H23+H26+H29+H32</f>
        <v>5643.951</v>
      </c>
      <c r="N23" s="241">
        <f>I23+I26+I29+I32</f>
        <v>7641.0280000000002</v>
      </c>
      <c r="O23" s="241">
        <f>J23+J26+J29+J32</f>
        <v>8309.7000000000007</v>
      </c>
      <c r="P23" s="241">
        <f t="shared" ref="P23" si="6">K23+K26+K29+K32</f>
        <v>8391</v>
      </c>
      <c r="Q23" s="241">
        <f>L23+L26+L29+L32</f>
        <v>8795.1</v>
      </c>
    </row>
    <row r="24" spans="1:17" ht="90.75" customHeight="1" x14ac:dyDescent="0.2">
      <c r="A24" s="22" t="s">
        <v>418</v>
      </c>
      <c r="B24" s="326" t="s">
        <v>1062</v>
      </c>
      <c r="C24" s="28" t="s">
        <v>1066</v>
      </c>
      <c r="D24" s="22" t="s">
        <v>406</v>
      </c>
      <c r="E24" s="28" t="s">
        <v>414</v>
      </c>
      <c r="F24" s="53">
        <v>0</v>
      </c>
      <c r="G24" s="123">
        <v>962.18200000000002</v>
      </c>
      <c r="H24" s="123">
        <v>2554.9070000000002</v>
      </c>
      <c r="I24" s="123">
        <v>3490.078</v>
      </c>
      <c r="J24" s="123">
        <v>3795.5</v>
      </c>
      <c r="K24" s="123">
        <v>3832.7</v>
      </c>
      <c r="L24" s="123">
        <v>4017.2</v>
      </c>
      <c r="M24" s="270"/>
      <c r="N24" s="284">
        <f>I24/N23</f>
        <v>0.45675503348502322</v>
      </c>
      <c r="O24" s="257">
        <f>I26/N23</f>
        <v>2.4687777613169328E-3</v>
      </c>
      <c r="P24" s="257">
        <f>I29/N23</f>
        <v>0.61182579097995715</v>
      </c>
      <c r="Q24" s="257">
        <f>I32/N23</f>
        <v>-7.1049602226297304E-2</v>
      </c>
    </row>
    <row r="25" spans="1:17" ht="122.25" customHeight="1" x14ac:dyDescent="0.2">
      <c r="A25" s="21" t="s">
        <v>407</v>
      </c>
      <c r="B25" s="327"/>
      <c r="C25" s="28"/>
      <c r="D25" s="22"/>
      <c r="E25" s="28"/>
      <c r="F25" s="53"/>
      <c r="G25" s="123"/>
      <c r="H25" s="123"/>
      <c r="I25" s="123"/>
      <c r="J25" s="124"/>
      <c r="K25" s="124"/>
      <c r="L25" s="124"/>
      <c r="M25" s="270"/>
      <c r="N25" s="241">
        <f>Q22*N24</f>
        <v>4017.2061950041279</v>
      </c>
      <c r="O25" s="242">
        <f>Q22*O24</f>
        <v>21.713147288558556</v>
      </c>
      <c r="P25" s="285">
        <f>Q22*P24</f>
        <v>5381.0690142478215</v>
      </c>
      <c r="Q25" s="285">
        <f>Q22*Q24</f>
        <v>-624.8883565405074</v>
      </c>
    </row>
    <row r="26" spans="1:17" ht="108" x14ac:dyDescent="0.2">
      <c r="A26" s="22"/>
      <c r="B26" s="327"/>
      <c r="C26" s="28" t="s">
        <v>1020</v>
      </c>
      <c r="D26" s="22" t="s">
        <v>407</v>
      </c>
      <c r="E26" s="28"/>
      <c r="F26" s="53"/>
      <c r="G26" s="123">
        <f>G27</f>
        <v>9.2669999999999995</v>
      </c>
      <c r="H26" s="123">
        <f t="shared" ref="H26:L26" si="7">H27</f>
        <v>19.423999999999999</v>
      </c>
      <c r="I26" s="123">
        <f t="shared" si="7"/>
        <v>18.864000000000001</v>
      </c>
      <c r="J26" s="123">
        <f t="shared" si="7"/>
        <v>20.5</v>
      </c>
      <c r="K26" s="123">
        <f t="shared" si="7"/>
        <v>20.7</v>
      </c>
      <c r="L26" s="123">
        <f t="shared" si="7"/>
        <v>21.7</v>
      </c>
      <c r="M26" s="270"/>
    </row>
    <row r="27" spans="1:17" ht="168" x14ac:dyDescent="0.2">
      <c r="A27" s="22" t="s">
        <v>1067</v>
      </c>
      <c r="B27" s="327"/>
      <c r="C27" s="28" t="s">
        <v>1068</v>
      </c>
      <c r="D27" s="22" t="s">
        <v>407</v>
      </c>
      <c r="E27" s="28" t="s">
        <v>414</v>
      </c>
      <c r="F27" s="53">
        <v>0</v>
      </c>
      <c r="G27" s="123">
        <v>9.2669999999999995</v>
      </c>
      <c r="H27" s="123">
        <v>19.423999999999999</v>
      </c>
      <c r="I27" s="123">
        <v>18.864000000000001</v>
      </c>
      <c r="J27" s="123">
        <v>20.5</v>
      </c>
      <c r="K27" s="123">
        <v>20.7</v>
      </c>
      <c r="L27" s="123">
        <v>21.7</v>
      </c>
      <c r="M27" s="270"/>
    </row>
    <row r="28" spans="1:17" ht="96" x14ac:dyDescent="0.2">
      <c r="A28" s="21" t="s">
        <v>408</v>
      </c>
      <c r="B28" s="327"/>
      <c r="C28" s="28"/>
      <c r="D28" s="22"/>
      <c r="E28" s="28"/>
      <c r="F28" s="53"/>
      <c r="G28" s="123"/>
      <c r="H28" s="123"/>
      <c r="I28" s="123"/>
      <c r="J28" s="124"/>
      <c r="K28" s="124"/>
      <c r="L28" s="124"/>
      <c r="M28" s="270"/>
    </row>
    <row r="29" spans="1:17" ht="96" x14ac:dyDescent="0.2">
      <c r="A29" s="22"/>
      <c r="B29" s="327"/>
      <c r="C29" s="28" t="s">
        <v>1021</v>
      </c>
      <c r="D29" s="22" t="s">
        <v>408</v>
      </c>
      <c r="E29" s="28"/>
      <c r="F29" s="53"/>
      <c r="G29" s="123">
        <f>G30</f>
        <v>1403.598</v>
      </c>
      <c r="H29" s="123">
        <f t="shared" ref="H29:L29" si="8">H30</f>
        <v>3501.732</v>
      </c>
      <c r="I29" s="123">
        <f t="shared" si="8"/>
        <v>4674.9780000000001</v>
      </c>
      <c r="J29" s="123">
        <f t="shared" si="8"/>
        <v>5084.1000000000004</v>
      </c>
      <c r="K29" s="123">
        <f t="shared" si="8"/>
        <v>5133.8</v>
      </c>
      <c r="L29" s="123">
        <f t="shared" si="8"/>
        <v>5381.1</v>
      </c>
      <c r="M29" s="270"/>
    </row>
    <row r="30" spans="1:17" ht="144" x14ac:dyDescent="0.2">
      <c r="A30" s="22" t="s">
        <v>1069</v>
      </c>
      <c r="B30" s="327"/>
      <c r="C30" s="28" t="s">
        <v>1070</v>
      </c>
      <c r="D30" s="22" t="s">
        <v>408</v>
      </c>
      <c r="E30" s="28" t="s">
        <v>414</v>
      </c>
      <c r="F30" s="53">
        <v>0</v>
      </c>
      <c r="G30" s="123">
        <v>1403.598</v>
      </c>
      <c r="H30" s="123">
        <v>3501.732</v>
      </c>
      <c r="I30" s="123">
        <v>4674.9780000000001</v>
      </c>
      <c r="J30" s="123">
        <v>5084.1000000000004</v>
      </c>
      <c r="K30" s="123">
        <v>5133.8</v>
      </c>
      <c r="L30" s="123">
        <v>5381.1</v>
      </c>
      <c r="M30" s="270"/>
    </row>
    <row r="31" spans="1:17" ht="96" x14ac:dyDescent="0.2">
      <c r="A31" s="21" t="s">
        <v>409</v>
      </c>
      <c r="B31" s="327"/>
      <c r="C31" s="28"/>
      <c r="D31" s="22"/>
      <c r="E31" s="28"/>
      <c r="F31" s="53"/>
      <c r="G31" s="123"/>
      <c r="H31" s="123"/>
      <c r="I31" s="123"/>
      <c r="J31" s="124"/>
      <c r="K31" s="124"/>
      <c r="L31" s="124"/>
      <c r="M31" s="270"/>
    </row>
    <row r="32" spans="1:17" ht="96" x14ac:dyDescent="0.2">
      <c r="A32" s="22"/>
      <c r="B32" s="327"/>
      <c r="C32" s="28" t="s">
        <v>1022</v>
      </c>
      <c r="D32" s="22" t="s">
        <v>409</v>
      </c>
      <c r="E32" s="28"/>
      <c r="F32" s="53"/>
      <c r="G32" s="123">
        <f>G33</f>
        <v>-215.583</v>
      </c>
      <c r="H32" s="123">
        <f t="shared" ref="H32:L32" si="9">H33</f>
        <v>-432.11200000000002</v>
      </c>
      <c r="I32" s="123">
        <f t="shared" si="9"/>
        <v>-542.89200000000005</v>
      </c>
      <c r="J32" s="123">
        <f t="shared" si="9"/>
        <v>-590.4</v>
      </c>
      <c r="K32" s="123">
        <f t="shared" si="9"/>
        <v>-596.20000000000005</v>
      </c>
      <c r="L32" s="123">
        <f t="shared" si="9"/>
        <v>-624.9</v>
      </c>
      <c r="M32" s="270"/>
    </row>
    <row r="33" spans="1:17" ht="144" x14ac:dyDescent="0.2">
      <c r="A33" s="22" t="s">
        <v>889</v>
      </c>
      <c r="B33" s="328"/>
      <c r="C33" s="28" t="s">
        <v>1071</v>
      </c>
      <c r="D33" s="22" t="s">
        <v>409</v>
      </c>
      <c r="E33" s="28" t="s">
        <v>414</v>
      </c>
      <c r="F33" s="53">
        <v>0</v>
      </c>
      <c r="G33" s="123">
        <v>-215.583</v>
      </c>
      <c r="H33" s="123">
        <v>-432.11200000000002</v>
      </c>
      <c r="I33" s="123">
        <v>-542.89200000000005</v>
      </c>
      <c r="J33" s="123">
        <v>-590.4</v>
      </c>
      <c r="K33" s="123">
        <v>-596.20000000000005</v>
      </c>
      <c r="L33" s="123">
        <v>-624.9</v>
      </c>
      <c r="M33" s="270"/>
    </row>
    <row r="34" spans="1:17" s="33" customFormat="1" ht="48" x14ac:dyDescent="0.2">
      <c r="A34" s="21" t="s">
        <v>419</v>
      </c>
      <c r="B34" s="32"/>
      <c r="C34" s="27"/>
      <c r="D34" s="21"/>
      <c r="E34" s="27"/>
      <c r="F34" s="96"/>
      <c r="G34" s="125"/>
      <c r="H34" s="125"/>
      <c r="I34" s="125"/>
      <c r="J34" s="125"/>
      <c r="K34" s="125"/>
      <c r="L34" s="125"/>
      <c r="M34" s="272"/>
      <c r="N34" s="258"/>
      <c r="O34" s="242"/>
      <c r="P34" s="242"/>
      <c r="Q34" s="242"/>
    </row>
    <row r="35" spans="1:17" s="33" customFormat="1" ht="48" x14ac:dyDescent="0.2">
      <c r="A35" s="21"/>
      <c r="B35" s="200"/>
      <c r="C35" s="147" t="s">
        <v>1023</v>
      </c>
      <c r="D35" s="153" t="s">
        <v>419</v>
      </c>
      <c r="E35" s="201"/>
      <c r="F35" s="202"/>
      <c r="G35" s="123">
        <f>G36</f>
        <v>13930.806</v>
      </c>
      <c r="H35" s="123">
        <f t="shared" ref="H35:L35" si="10">H36</f>
        <v>14074.797</v>
      </c>
      <c r="I35" s="123">
        <f t="shared" si="10"/>
        <v>16376.8</v>
      </c>
      <c r="J35" s="123">
        <f t="shared" si="10"/>
        <v>17490</v>
      </c>
      <c r="K35" s="123">
        <f t="shared" si="10"/>
        <v>18390</v>
      </c>
      <c r="L35" s="123">
        <f t="shared" si="10"/>
        <v>19290</v>
      </c>
      <c r="M35" s="258">
        <f>H35+H44+H50</f>
        <v>23933.95</v>
      </c>
      <c r="N35" s="258">
        <f>I35+I44</f>
        <v>29776</v>
      </c>
      <c r="O35" s="258">
        <f t="shared" ref="O35" si="11">J35+J44</f>
        <v>29790</v>
      </c>
      <c r="P35" s="258">
        <f>K35+K44</f>
        <v>31290</v>
      </c>
      <c r="Q35" s="258">
        <f>L35+L44</f>
        <v>32790</v>
      </c>
    </row>
    <row r="36" spans="1:17" ht="72" x14ac:dyDescent="0.2">
      <c r="A36" s="51" t="s">
        <v>420</v>
      </c>
      <c r="B36" s="293">
        <v>30</v>
      </c>
      <c r="C36" s="316" t="s">
        <v>758</v>
      </c>
      <c r="D36" s="320" t="s">
        <v>419</v>
      </c>
      <c r="E36" s="295" t="s">
        <v>402</v>
      </c>
      <c r="F36" s="308">
        <v>11905.028</v>
      </c>
      <c r="G36" s="291">
        <v>13930.806</v>
      </c>
      <c r="H36" s="291">
        <v>14074.797</v>
      </c>
      <c r="I36" s="291">
        <v>16376.8</v>
      </c>
      <c r="J36" s="291">
        <v>17490</v>
      </c>
      <c r="K36" s="291">
        <v>18390</v>
      </c>
      <c r="L36" s="291">
        <v>19290</v>
      </c>
      <c r="M36" s="278"/>
    </row>
    <row r="37" spans="1:17" ht="48" x14ac:dyDescent="0.2">
      <c r="A37" s="51" t="s">
        <v>421</v>
      </c>
      <c r="B37" s="319"/>
      <c r="C37" s="317"/>
      <c r="D37" s="321"/>
      <c r="E37" s="313"/>
      <c r="F37" s="315"/>
      <c r="G37" s="312"/>
      <c r="H37" s="312"/>
      <c r="I37" s="312"/>
      <c r="J37" s="312"/>
      <c r="K37" s="312"/>
      <c r="L37" s="312"/>
      <c r="M37" s="278"/>
    </row>
    <row r="38" spans="1:17" ht="72" x14ac:dyDescent="0.2">
      <c r="A38" s="51" t="s">
        <v>422</v>
      </c>
      <c r="B38" s="319"/>
      <c r="C38" s="317"/>
      <c r="D38" s="321"/>
      <c r="E38" s="313"/>
      <c r="F38" s="315"/>
      <c r="G38" s="312"/>
      <c r="H38" s="312"/>
      <c r="I38" s="312"/>
      <c r="J38" s="312"/>
      <c r="K38" s="312"/>
      <c r="L38" s="312"/>
      <c r="M38" s="270"/>
    </row>
    <row r="39" spans="1:17" ht="48" x14ac:dyDescent="0.2">
      <c r="A39" s="51" t="s">
        <v>423</v>
      </c>
      <c r="B39" s="294"/>
      <c r="C39" s="318"/>
      <c r="D39" s="322"/>
      <c r="E39" s="296"/>
      <c r="F39" s="309"/>
      <c r="G39" s="292"/>
      <c r="H39" s="292"/>
      <c r="I39" s="292"/>
      <c r="J39" s="292"/>
      <c r="K39" s="292"/>
      <c r="L39" s="292"/>
      <c r="M39" s="270"/>
    </row>
    <row r="40" spans="1:17" ht="96" hidden="1" x14ac:dyDescent="0.2">
      <c r="A40" s="117" t="s">
        <v>424</v>
      </c>
      <c r="B40" s="293">
        <v>30</v>
      </c>
      <c r="C40" s="316" t="s">
        <v>759</v>
      </c>
      <c r="D40" s="320" t="s">
        <v>427</v>
      </c>
      <c r="E40" s="295" t="s">
        <v>402</v>
      </c>
      <c r="F40" s="308">
        <v>4.3019999999999996</v>
      </c>
      <c r="G40" s="323">
        <v>0</v>
      </c>
      <c r="H40" s="323">
        <v>0</v>
      </c>
      <c r="I40" s="323">
        <v>0</v>
      </c>
      <c r="J40" s="323">
        <v>0</v>
      </c>
      <c r="K40" s="323">
        <v>0</v>
      </c>
      <c r="L40" s="323">
        <v>0</v>
      </c>
      <c r="M40" s="270"/>
    </row>
    <row r="41" spans="1:17" ht="72" hidden="1" x14ac:dyDescent="0.2">
      <c r="A41" s="116" t="s">
        <v>425</v>
      </c>
      <c r="B41" s="319"/>
      <c r="C41" s="317"/>
      <c r="D41" s="321"/>
      <c r="E41" s="313"/>
      <c r="F41" s="315"/>
      <c r="G41" s="324"/>
      <c r="H41" s="324"/>
      <c r="I41" s="324"/>
      <c r="J41" s="324"/>
      <c r="K41" s="324"/>
      <c r="L41" s="324"/>
      <c r="M41" s="270"/>
    </row>
    <row r="42" spans="1:17" ht="96" hidden="1" x14ac:dyDescent="0.2">
      <c r="A42" s="117" t="s">
        <v>426</v>
      </c>
      <c r="B42" s="294"/>
      <c r="C42" s="318"/>
      <c r="D42" s="322"/>
      <c r="E42" s="296"/>
      <c r="F42" s="309"/>
      <c r="G42" s="325"/>
      <c r="H42" s="325"/>
      <c r="I42" s="325"/>
      <c r="J42" s="325"/>
      <c r="K42" s="325"/>
      <c r="L42" s="325"/>
      <c r="M42" s="270"/>
    </row>
    <row r="43" spans="1:17" ht="60" x14ac:dyDescent="0.2">
      <c r="A43" s="34" t="s">
        <v>428</v>
      </c>
      <c r="B43" s="50"/>
      <c r="C43" s="28"/>
      <c r="D43" s="22"/>
      <c r="E43" s="28"/>
      <c r="F43" s="95"/>
      <c r="G43" s="125"/>
      <c r="H43" s="125"/>
      <c r="I43" s="126"/>
      <c r="J43" s="126"/>
      <c r="K43" s="126"/>
      <c r="L43" s="126"/>
      <c r="M43" s="271"/>
    </row>
    <row r="44" spans="1:17" ht="60" x14ac:dyDescent="0.2">
      <c r="A44" s="34"/>
      <c r="B44" s="152"/>
      <c r="C44" s="147" t="s">
        <v>1025</v>
      </c>
      <c r="D44" s="153" t="s">
        <v>428</v>
      </c>
      <c r="E44" s="147"/>
      <c r="F44" s="206"/>
      <c r="G44" s="123">
        <f>G45</f>
        <v>10982.521000000001</v>
      </c>
      <c r="H44" s="123">
        <f t="shared" ref="H44:L44" si="12">H45</f>
        <v>9863.6029999999992</v>
      </c>
      <c r="I44" s="123">
        <f t="shared" si="12"/>
        <v>13399.2</v>
      </c>
      <c r="J44" s="123">
        <f t="shared" si="12"/>
        <v>12300</v>
      </c>
      <c r="K44" s="123">
        <f t="shared" si="12"/>
        <v>12900</v>
      </c>
      <c r="L44" s="123">
        <f t="shared" si="12"/>
        <v>13500</v>
      </c>
      <c r="M44" s="270"/>
    </row>
    <row r="45" spans="1:17" ht="84" x14ac:dyDescent="0.2">
      <c r="A45" s="22" t="s">
        <v>430</v>
      </c>
      <c r="B45" s="293">
        <v>30</v>
      </c>
      <c r="C45" s="316" t="s">
        <v>760</v>
      </c>
      <c r="D45" s="297" t="s">
        <v>429</v>
      </c>
      <c r="E45" s="295" t="s">
        <v>402</v>
      </c>
      <c r="F45" s="308">
        <v>9443.5709999999999</v>
      </c>
      <c r="G45" s="291">
        <v>10982.521000000001</v>
      </c>
      <c r="H45" s="291">
        <v>9863.6029999999992</v>
      </c>
      <c r="I45" s="291">
        <v>13399.2</v>
      </c>
      <c r="J45" s="291">
        <v>12300</v>
      </c>
      <c r="K45" s="291">
        <v>12900</v>
      </c>
      <c r="L45" s="291">
        <v>13500</v>
      </c>
      <c r="M45" s="270"/>
    </row>
    <row r="46" spans="1:17" ht="60" x14ac:dyDescent="0.2">
      <c r="A46" s="22" t="s">
        <v>431</v>
      </c>
      <c r="B46" s="319"/>
      <c r="C46" s="317"/>
      <c r="D46" s="314"/>
      <c r="E46" s="313"/>
      <c r="F46" s="315"/>
      <c r="G46" s="312"/>
      <c r="H46" s="312"/>
      <c r="I46" s="312"/>
      <c r="J46" s="312"/>
      <c r="K46" s="312"/>
      <c r="L46" s="312"/>
      <c r="M46" s="270"/>
    </row>
    <row r="47" spans="1:17" ht="84" x14ac:dyDescent="0.2">
      <c r="A47" s="22" t="s">
        <v>432</v>
      </c>
      <c r="B47" s="294"/>
      <c r="C47" s="318"/>
      <c r="D47" s="298"/>
      <c r="E47" s="296"/>
      <c r="F47" s="309"/>
      <c r="G47" s="292"/>
      <c r="H47" s="292"/>
      <c r="I47" s="312"/>
      <c r="J47" s="292"/>
      <c r="K47" s="292"/>
      <c r="L47" s="292"/>
      <c r="M47" s="270"/>
    </row>
    <row r="48" spans="1:17" ht="108" hidden="1" x14ac:dyDescent="0.2">
      <c r="A48" s="117" t="s">
        <v>433</v>
      </c>
      <c r="B48" s="50">
        <v>30</v>
      </c>
      <c r="C48" s="45" t="s">
        <v>761</v>
      </c>
      <c r="D48" s="22" t="s">
        <v>434</v>
      </c>
      <c r="E48" s="28" t="s">
        <v>402</v>
      </c>
      <c r="F48" s="52">
        <v>-0.58299999999999996</v>
      </c>
      <c r="G48" s="124">
        <v>0</v>
      </c>
      <c r="H48" s="124">
        <v>0</v>
      </c>
      <c r="I48" s="124">
        <v>0</v>
      </c>
      <c r="J48" s="124">
        <v>0</v>
      </c>
      <c r="K48" s="124">
        <v>0</v>
      </c>
      <c r="L48" s="124">
        <v>0</v>
      </c>
      <c r="M48" s="270"/>
    </row>
    <row r="49" spans="1:14" ht="48" x14ac:dyDescent="0.2">
      <c r="A49" s="34" t="s">
        <v>435</v>
      </c>
      <c r="B49" s="50"/>
      <c r="C49" s="28"/>
      <c r="D49" s="22"/>
      <c r="E49" s="28"/>
      <c r="F49" s="95"/>
      <c r="G49" s="125"/>
      <c r="H49" s="125"/>
      <c r="I49" s="126"/>
      <c r="J49" s="126"/>
      <c r="K49" s="126"/>
      <c r="L49" s="126"/>
      <c r="M49" s="271"/>
    </row>
    <row r="50" spans="1:14" ht="48" x14ac:dyDescent="0.2">
      <c r="A50" s="34"/>
      <c r="B50" s="152"/>
      <c r="C50" s="147" t="s">
        <v>1024</v>
      </c>
      <c r="D50" s="153" t="s">
        <v>435</v>
      </c>
      <c r="E50" s="147"/>
      <c r="F50" s="206"/>
      <c r="G50" s="123">
        <f>G51</f>
        <v>-41.454000000000001</v>
      </c>
      <c r="H50" s="123">
        <f t="shared" ref="H50:L50" si="13">H51</f>
        <v>-4.45</v>
      </c>
      <c r="I50" s="123">
        <f t="shared" si="13"/>
        <v>0</v>
      </c>
      <c r="J50" s="123">
        <f t="shared" si="13"/>
        <v>0</v>
      </c>
      <c r="K50" s="123">
        <f t="shared" si="13"/>
        <v>0</v>
      </c>
      <c r="L50" s="123">
        <f t="shared" si="13"/>
        <v>0</v>
      </c>
      <c r="M50" s="270"/>
    </row>
    <row r="51" spans="1:14" ht="86.25" customHeight="1" x14ac:dyDescent="0.2">
      <c r="A51" s="22" t="s">
        <v>1096</v>
      </c>
      <c r="B51" s="293">
        <v>30</v>
      </c>
      <c r="C51" s="316" t="s">
        <v>605</v>
      </c>
      <c r="D51" s="320" t="s">
        <v>435</v>
      </c>
      <c r="E51" s="295" t="s">
        <v>402</v>
      </c>
      <c r="F51" s="308">
        <v>-379.57400000000001</v>
      </c>
      <c r="G51" s="291">
        <v>-41.454000000000001</v>
      </c>
      <c r="H51" s="291">
        <v>-4.45</v>
      </c>
      <c r="I51" s="291">
        <v>0</v>
      </c>
      <c r="J51" s="291">
        <v>0</v>
      </c>
      <c r="K51" s="291">
        <v>0</v>
      </c>
      <c r="L51" s="291">
        <v>0</v>
      </c>
      <c r="M51" s="270"/>
    </row>
    <row r="52" spans="1:14" ht="61.5" customHeight="1" x14ac:dyDescent="0.2">
      <c r="A52" s="22" t="s">
        <v>1097</v>
      </c>
      <c r="B52" s="319"/>
      <c r="C52" s="317"/>
      <c r="D52" s="321"/>
      <c r="E52" s="313"/>
      <c r="F52" s="315"/>
      <c r="G52" s="312"/>
      <c r="H52" s="312"/>
      <c r="I52" s="312"/>
      <c r="J52" s="312"/>
      <c r="K52" s="312"/>
      <c r="L52" s="312"/>
      <c r="M52" s="270"/>
    </row>
    <row r="53" spans="1:14" ht="88.5" customHeight="1" x14ac:dyDescent="0.2">
      <c r="A53" s="22" t="s">
        <v>1098</v>
      </c>
      <c r="B53" s="294"/>
      <c r="C53" s="318"/>
      <c r="D53" s="322"/>
      <c r="E53" s="296"/>
      <c r="F53" s="309"/>
      <c r="G53" s="292"/>
      <c r="H53" s="292"/>
      <c r="I53" s="292"/>
      <c r="J53" s="292"/>
      <c r="K53" s="292"/>
      <c r="L53" s="292"/>
      <c r="M53" s="270"/>
    </row>
    <row r="54" spans="1:14" ht="24" x14ac:dyDescent="0.2">
      <c r="A54" s="20" t="s">
        <v>73</v>
      </c>
      <c r="B54" s="20"/>
      <c r="C54" s="27"/>
      <c r="D54" s="27"/>
      <c r="E54" s="31"/>
      <c r="F54" s="96"/>
      <c r="G54" s="125"/>
      <c r="H54" s="125"/>
      <c r="I54" s="126"/>
      <c r="J54" s="126"/>
      <c r="K54" s="126"/>
      <c r="L54" s="126"/>
      <c r="M54" s="271"/>
    </row>
    <row r="55" spans="1:14" ht="24" x14ac:dyDescent="0.2">
      <c r="A55" s="20"/>
      <c r="B55" s="207"/>
      <c r="C55" s="147" t="s">
        <v>1026</v>
      </c>
      <c r="D55" s="149" t="s">
        <v>73</v>
      </c>
      <c r="E55" s="208"/>
      <c r="F55" s="202"/>
      <c r="G55" s="209">
        <f>G56</f>
        <v>30927.737000000001</v>
      </c>
      <c r="H55" s="209">
        <f t="shared" ref="H55:L55" si="14">H56</f>
        <v>24278.732</v>
      </c>
      <c r="I55" s="209">
        <f t="shared" si="14"/>
        <v>31840</v>
      </c>
      <c r="J55" s="209">
        <f t="shared" si="14"/>
        <v>28500</v>
      </c>
      <c r="K55" s="209">
        <f t="shared" si="14"/>
        <v>0</v>
      </c>
      <c r="L55" s="209">
        <f t="shared" si="14"/>
        <v>0</v>
      </c>
      <c r="M55" s="273"/>
    </row>
    <row r="56" spans="1:14" ht="61.5" customHeight="1" x14ac:dyDescent="0.2">
      <c r="A56" s="23" t="s">
        <v>76</v>
      </c>
      <c r="B56" s="295" t="s">
        <v>437</v>
      </c>
      <c r="C56" s="316" t="s">
        <v>604</v>
      </c>
      <c r="D56" s="297" t="s">
        <v>73</v>
      </c>
      <c r="E56" s="295" t="s">
        <v>402</v>
      </c>
      <c r="F56" s="308">
        <v>38307.96</v>
      </c>
      <c r="G56" s="291">
        <v>30927.737000000001</v>
      </c>
      <c r="H56" s="291">
        <v>24278.732</v>
      </c>
      <c r="I56" s="291">
        <v>31840</v>
      </c>
      <c r="J56" s="291">
        <v>28500</v>
      </c>
      <c r="K56" s="291">
        <v>0</v>
      </c>
      <c r="L56" s="291">
        <v>0</v>
      </c>
      <c r="M56" s="270"/>
    </row>
    <row r="57" spans="1:14" ht="46.5" customHeight="1" x14ac:dyDescent="0.2">
      <c r="A57" s="23" t="s">
        <v>79</v>
      </c>
      <c r="B57" s="313"/>
      <c r="C57" s="317"/>
      <c r="D57" s="314"/>
      <c r="E57" s="313"/>
      <c r="F57" s="315"/>
      <c r="G57" s="312"/>
      <c r="H57" s="312"/>
      <c r="I57" s="312"/>
      <c r="J57" s="312"/>
      <c r="K57" s="312"/>
      <c r="L57" s="312"/>
      <c r="M57" s="270"/>
    </row>
    <row r="58" spans="1:14" ht="60" x14ac:dyDescent="0.2">
      <c r="A58" s="23" t="s">
        <v>82</v>
      </c>
      <c r="B58" s="313"/>
      <c r="C58" s="317"/>
      <c r="D58" s="314"/>
      <c r="E58" s="313"/>
      <c r="F58" s="315"/>
      <c r="G58" s="312"/>
      <c r="H58" s="312"/>
      <c r="I58" s="312"/>
      <c r="J58" s="312"/>
      <c r="K58" s="312"/>
      <c r="L58" s="312"/>
      <c r="M58" s="270"/>
      <c r="N58" s="257"/>
    </row>
    <row r="59" spans="1:14" ht="36" x14ac:dyDescent="0.2">
      <c r="A59" s="23" t="s">
        <v>85</v>
      </c>
      <c r="B59" s="296"/>
      <c r="C59" s="318"/>
      <c r="D59" s="298"/>
      <c r="E59" s="296"/>
      <c r="F59" s="309"/>
      <c r="G59" s="292"/>
      <c r="H59" s="292"/>
      <c r="I59" s="292"/>
      <c r="J59" s="292"/>
      <c r="K59" s="292"/>
      <c r="L59" s="292"/>
      <c r="M59" s="270"/>
      <c r="N59" s="257"/>
    </row>
    <row r="60" spans="1:14" ht="48" x14ac:dyDescent="0.2">
      <c r="A60" s="20" t="s">
        <v>88</v>
      </c>
      <c r="B60" s="20"/>
      <c r="C60" s="27"/>
      <c r="D60" s="27"/>
      <c r="E60" s="27"/>
      <c r="F60" s="96"/>
      <c r="G60" s="125"/>
      <c r="H60" s="125"/>
      <c r="I60" s="126"/>
      <c r="J60" s="126"/>
      <c r="K60" s="126"/>
      <c r="L60" s="126"/>
      <c r="M60" s="271"/>
    </row>
    <row r="61" spans="1:14" ht="48" x14ac:dyDescent="0.2">
      <c r="A61" s="20"/>
      <c r="B61" s="207"/>
      <c r="C61" s="147" t="s">
        <v>1027</v>
      </c>
      <c r="D61" s="149" t="s">
        <v>88</v>
      </c>
      <c r="E61" s="201"/>
      <c r="F61" s="202"/>
      <c r="G61" s="209">
        <f>G62</f>
        <v>2.847</v>
      </c>
      <c r="H61" s="209">
        <f t="shared" ref="H61:L61" si="15">H62</f>
        <v>0.98199999999999998</v>
      </c>
      <c r="I61" s="209">
        <f t="shared" si="15"/>
        <v>0</v>
      </c>
      <c r="J61" s="209">
        <f t="shared" si="15"/>
        <v>0</v>
      </c>
      <c r="K61" s="209">
        <f t="shared" si="15"/>
        <v>0</v>
      </c>
      <c r="L61" s="209">
        <f t="shared" si="15"/>
        <v>0</v>
      </c>
      <c r="M61" s="273"/>
    </row>
    <row r="62" spans="1:14" ht="84" x14ac:dyDescent="0.2">
      <c r="A62" s="23" t="s">
        <v>90</v>
      </c>
      <c r="B62" s="295" t="s">
        <v>437</v>
      </c>
      <c r="C62" s="295" t="s">
        <v>606</v>
      </c>
      <c r="D62" s="297" t="s">
        <v>88</v>
      </c>
      <c r="E62" s="295" t="s">
        <v>402</v>
      </c>
      <c r="F62" s="308">
        <v>3.206</v>
      </c>
      <c r="G62" s="291">
        <v>2.847</v>
      </c>
      <c r="H62" s="291">
        <v>0.98199999999999998</v>
      </c>
      <c r="I62" s="291">
        <v>0</v>
      </c>
      <c r="J62" s="291">
        <v>0</v>
      </c>
      <c r="K62" s="291">
        <v>0</v>
      </c>
      <c r="L62" s="291">
        <v>0</v>
      </c>
      <c r="M62" s="270"/>
    </row>
    <row r="63" spans="1:14" ht="60" x14ac:dyDescent="0.2">
      <c r="A63" s="23" t="s">
        <v>93</v>
      </c>
      <c r="B63" s="313"/>
      <c r="C63" s="313"/>
      <c r="D63" s="314"/>
      <c r="E63" s="313"/>
      <c r="F63" s="315"/>
      <c r="G63" s="312"/>
      <c r="H63" s="312"/>
      <c r="I63" s="312"/>
      <c r="J63" s="312"/>
      <c r="K63" s="312"/>
      <c r="L63" s="312"/>
      <c r="M63" s="270"/>
    </row>
    <row r="64" spans="1:14" ht="12" x14ac:dyDescent="0.2">
      <c r="A64" s="20" t="s">
        <v>96</v>
      </c>
      <c r="B64" s="20"/>
      <c r="C64" s="27"/>
      <c r="D64" s="27"/>
      <c r="E64" s="27"/>
      <c r="F64" s="96"/>
      <c r="G64" s="125"/>
      <c r="H64" s="125"/>
      <c r="I64" s="126"/>
      <c r="J64" s="126"/>
      <c r="K64" s="126"/>
      <c r="L64" s="126"/>
      <c r="M64" s="271"/>
    </row>
    <row r="65" spans="1:17" ht="15.75" customHeight="1" x14ac:dyDescent="0.2">
      <c r="A65" s="20"/>
      <c r="B65" s="207"/>
      <c r="C65" s="147" t="s">
        <v>607</v>
      </c>
      <c r="D65" s="149" t="s">
        <v>96</v>
      </c>
      <c r="E65" s="201"/>
      <c r="F65" s="202"/>
      <c r="G65" s="209">
        <f>G66</f>
        <v>307.036</v>
      </c>
      <c r="H65" s="209">
        <f t="shared" ref="H65:L65" si="16">H66</f>
        <v>1636.337</v>
      </c>
      <c r="I65" s="209">
        <f t="shared" si="16"/>
        <v>1712.3</v>
      </c>
      <c r="J65" s="209">
        <f t="shared" si="16"/>
        <v>1445.5</v>
      </c>
      <c r="K65" s="209">
        <f t="shared" si="16"/>
        <v>1445.5</v>
      </c>
      <c r="L65" s="209">
        <f t="shared" si="16"/>
        <v>1445.5</v>
      </c>
      <c r="M65" s="273"/>
    </row>
    <row r="66" spans="1:17" ht="48" x14ac:dyDescent="0.2">
      <c r="A66" s="23" t="s">
        <v>100</v>
      </c>
      <c r="B66" s="295" t="s">
        <v>438</v>
      </c>
      <c r="C66" s="295" t="s">
        <v>607</v>
      </c>
      <c r="D66" s="297" t="s">
        <v>96</v>
      </c>
      <c r="E66" s="295" t="s">
        <v>402</v>
      </c>
      <c r="F66" s="308">
        <v>813.99599999999998</v>
      </c>
      <c r="G66" s="291">
        <v>307.036</v>
      </c>
      <c r="H66" s="291">
        <v>1636.337</v>
      </c>
      <c r="I66" s="291">
        <v>1712.3</v>
      </c>
      <c r="J66" s="291">
        <v>1445.5</v>
      </c>
      <c r="K66" s="291">
        <v>1445.5</v>
      </c>
      <c r="L66" s="291">
        <v>1445.5</v>
      </c>
      <c r="M66" s="270"/>
    </row>
    <row r="67" spans="1:17" ht="24" x14ac:dyDescent="0.2">
      <c r="A67" s="23" t="s">
        <v>103</v>
      </c>
      <c r="B67" s="313"/>
      <c r="C67" s="313"/>
      <c r="D67" s="314"/>
      <c r="E67" s="313"/>
      <c r="F67" s="315"/>
      <c r="G67" s="312"/>
      <c r="H67" s="312"/>
      <c r="I67" s="312"/>
      <c r="J67" s="312"/>
      <c r="K67" s="312"/>
      <c r="L67" s="312"/>
      <c r="M67" s="270"/>
    </row>
    <row r="68" spans="1:17" ht="48" x14ac:dyDescent="0.2">
      <c r="A68" s="23" t="s">
        <v>106</v>
      </c>
      <c r="B68" s="296"/>
      <c r="C68" s="296"/>
      <c r="D68" s="298"/>
      <c r="E68" s="296"/>
      <c r="F68" s="309"/>
      <c r="G68" s="292"/>
      <c r="H68" s="292"/>
      <c r="I68" s="292"/>
      <c r="J68" s="292"/>
      <c r="K68" s="292"/>
      <c r="L68" s="292"/>
      <c r="M68" s="270"/>
    </row>
    <row r="69" spans="1:17" s="38" customFormat="1" ht="36" hidden="1" x14ac:dyDescent="0.2">
      <c r="A69" s="115" t="s">
        <v>109</v>
      </c>
      <c r="B69" s="34"/>
      <c r="C69" s="37"/>
      <c r="D69" s="37"/>
      <c r="E69" s="37"/>
      <c r="F69" s="96"/>
      <c r="G69" s="210"/>
      <c r="H69" s="125"/>
      <c r="I69" s="283"/>
      <c r="J69" s="126"/>
      <c r="K69" s="126"/>
      <c r="L69" s="126"/>
      <c r="M69" s="271"/>
      <c r="N69" s="241"/>
      <c r="O69" s="242"/>
      <c r="P69" s="243"/>
      <c r="Q69" s="243"/>
    </row>
    <row r="70" spans="1:17" ht="72" hidden="1" x14ac:dyDescent="0.2">
      <c r="A70" s="116" t="s">
        <v>110</v>
      </c>
      <c r="B70" s="28" t="s">
        <v>438</v>
      </c>
      <c r="C70" s="28" t="s">
        <v>608</v>
      </c>
      <c r="D70" s="23" t="s">
        <v>109</v>
      </c>
      <c r="E70" s="28" t="s">
        <v>402</v>
      </c>
      <c r="F70" s="52">
        <v>0</v>
      </c>
      <c r="G70" s="123">
        <v>0</v>
      </c>
      <c r="H70" s="124">
        <v>0</v>
      </c>
      <c r="I70" s="123">
        <v>0</v>
      </c>
      <c r="J70" s="124">
        <v>0</v>
      </c>
      <c r="K70" s="124">
        <v>0</v>
      </c>
      <c r="L70" s="124">
        <v>0</v>
      </c>
      <c r="M70" s="270"/>
    </row>
    <row r="71" spans="1:17" s="243" customFormat="1" ht="48" hidden="1" x14ac:dyDescent="0.2">
      <c r="A71" s="115" t="s">
        <v>848</v>
      </c>
      <c r="B71" s="244"/>
      <c r="C71" s="244"/>
      <c r="D71" s="116"/>
      <c r="E71" s="244"/>
      <c r="F71" s="245"/>
      <c r="G71" s="246"/>
      <c r="H71" s="246"/>
      <c r="I71" s="123"/>
      <c r="J71" s="246"/>
      <c r="K71" s="246"/>
      <c r="L71" s="246"/>
      <c r="M71" s="274"/>
      <c r="N71" s="241"/>
      <c r="O71" s="242"/>
    </row>
    <row r="72" spans="1:17" s="243" customFormat="1" ht="36" hidden="1" x14ac:dyDescent="0.2">
      <c r="A72" s="116"/>
      <c r="B72" s="244"/>
      <c r="C72" s="244" t="s">
        <v>1029</v>
      </c>
      <c r="D72" s="116" t="s">
        <v>109</v>
      </c>
      <c r="E72" s="244"/>
      <c r="F72" s="245"/>
      <c r="G72" s="245">
        <f>G73</f>
        <v>2.5999999999999999E-2</v>
      </c>
      <c r="H72" s="246">
        <f>H73</f>
        <v>0</v>
      </c>
      <c r="I72" s="123">
        <f t="shared" ref="I72:K72" si="17">I73</f>
        <v>0</v>
      </c>
      <c r="J72" s="246">
        <f t="shared" si="17"/>
        <v>0</v>
      </c>
      <c r="K72" s="246">
        <f t="shared" si="17"/>
        <v>0</v>
      </c>
      <c r="L72" s="246">
        <f t="shared" ref="L72" si="18">L73</f>
        <v>0</v>
      </c>
      <c r="M72" s="274"/>
      <c r="N72" s="241"/>
      <c r="O72" s="242"/>
    </row>
    <row r="73" spans="1:17" s="243" customFormat="1" ht="48" hidden="1" x14ac:dyDescent="0.2">
      <c r="A73" s="116" t="s">
        <v>848</v>
      </c>
      <c r="B73" s="244" t="s">
        <v>438</v>
      </c>
      <c r="C73" s="244" t="s">
        <v>608</v>
      </c>
      <c r="D73" s="116" t="s">
        <v>109</v>
      </c>
      <c r="E73" s="244" t="s">
        <v>402</v>
      </c>
      <c r="F73" s="245"/>
      <c r="G73" s="245">
        <v>2.5999999999999999E-2</v>
      </c>
      <c r="H73" s="246">
        <v>0</v>
      </c>
      <c r="I73" s="123">
        <v>0</v>
      </c>
      <c r="J73" s="246">
        <v>0</v>
      </c>
      <c r="K73" s="246">
        <v>0</v>
      </c>
      <c r="L73" s="246">
        <v>0</v>
      </c>
      <c r="M73" s="274"/>
      <c r="N73" s="241"/>
      <c r="O73" s="242"/>
    </row>
    <row r="74" spans="1:17" s="26" customFormat="1" ht="48" x14ac:dyDescent="0.2">
      <c r="A74" s="39" t="s">
        <v>113</v>
      </c>
      <c r="B74" s="39"/>
      <c r="C74" s="40"/>
      <c r="D74" s="40"/>
      <c r="E74" s="40"/>
      <c r="F74" s="96"/>
      <c r="G74" s="125"/>
      <c r="H74" s="125"/>
      <c r="I74" s="283"/>
      <c r="J74" s="126"/>
      <c r="K74" s="126"/>
      <c r="L74" s="126"/>
      <c r="M74" s="271"/>
      <c r="N74" s="254"/>
      <c r="O74" s="255"/>
      <c r="P74" s="256"/>
      <c r="Q74" s="256"/>
    </row>
    <row r="75" spans="1:17" s="26" customFormat="1" ht="48" x14ac:dyDescent="0.2">
      <c r="A75" s="39"/>
      <c r="B75" s="211"/>
      <c r="C75" s="214" t="s">
        <v>1030</v>
      </c>
      <c r="D75" s="213" t="s">
        <v>113</v>
      </c>
      <c r="E75" s="212"/>
      <c r="F75" s="202"/>
      <c r="G75" s="209">
        <f>G76</f>
        <v>56.188000000000002</v>
      </c>
      <c r="H75" s="209">
        <f t="shared" ref="H75:L75" si="19">H76</f>
        <v>62.46</v>
      </c>
      <c r="I75" s="209">
        <f t="shared" si="19"/>
        <v>100</v>
      </c>
      <c r="J75" s="209">
        <f t="shared" si="19"/>
        <v>130</v>
      </c>
      <c r="K75" s="209">
        <f t="shared" si="19"/>
        <v>130</v>
      </c>
      <c r="L75" s="209">
        <f t="shared" si="19"/>
        <v>130</v>
      </c>
      <c r="M75" s="273"/>
      <c r="N75" s="254"/>
      <c r="O75" s="255"/>
      <c r="P75" s="256"/>
      <c r="Q75" s="256"/>
    </row>
    <row r="76" spans="1:17" ht="84" x14ac:dyDescent="0.2">
      <c r="A76" s="23" t="s">
        <v>115</v>
      </c>
      <c r="B76" s="295" t="s">
        <v>437</v>
      </c>
      <c r="C76" s="295" t="s">
        <v>609</v>
      </c>
      <c r="D76" s="297" t="s">
        <v>113</v>
      </c>
      <c r="E76" s="295" t="s">
        <v>402</v>
      </c>
      <c r="F76" s="308">
        <v>31.62</v>
      </c>
      <c r="G76" s="291">
        <v>56.188000000000002</v>
      </c>
      <c r="H76" s="291">
        <v>62.46</v>
      </c>
      <c r="I76" s="291">
        <v>100</v>
      </c>
      <c r="J76" s="291">
        <v>130</v>
      </c>
      <c r="K76" s="291">
        <v>130</v>
      </c>
      <c r="L76" s="291">
        <v>130</v>
      </c>
      <c r="M76" s="270"/>
    </row>
    <row r="77" spans="1:17" ht="60" x14ac:dyDescent="0.2">
      <c r="A77" s="51" t="s">
        <v>118</v>
      </c>
      <c r="B77" s="296"/>
      <c r="C77" s="296"/>
      <c r="D77" s="298"/>
      <c r="E77" s="296"/>
      <c r="F77" s="309"/>
      <c r="G77" s="292"/>
      <c r="H77" s="292"/>
      <c r="I77" s="292"/>
      <c r="J77" s="292"/>
      <c r="K77" s="292"/>
      <c r="L77" s="292"/>
      <c r="M77" s="270"/>
    </row>
    <row r="78" spans="1:17" s="26" customFormat="1" ht="60" x14ac:dyDescent="0.2">
      <c r="A78" s="39" t="s">
        <v>123</v>
      </c>
      <c r="B78" s="39"/>
      <c r="C78" s="41"/>
      <c r="D78" s="40"/>
      <c r="E78" s="40"/>
      <c r="F78" s="96"/>
      <c r="G78" s="125"/>
      <c r="H78" s="125"/>
      <c r="I78" s="126"/>
      <c r="J78" s="126"/>
      <c r="K78" s="126"/>
      <c r="L78" s="126"/>
      <c r="M78" s="271"/>
      <c r="N78" s="254"/>
      <c r="O78" s="255"/>
      <c r="P78" s="256"/>
      <c r="Q78" s="256"/>
    </row>
    <row r="79" spans="1:17" ht="60" x14ac:dyDescent="0.2">
      <c r="A79" s="23"/>
      <c r="B79" s="23"/>
      <c r="C79" s="28" t="s">
        <v>610</v>
      </c>
      <c r="D79" s="23" t="s">
        <v>123</v>
      </c>
      <c r="E79" s="28"/>
      <c r="F79" s="94">
        <f>10100232.74/1000</f>
        <v>10100.232739999999</v>
      </c>
      <c r="G79" s="123">
        <f>G80</f>
        <v>9355.9339999999993</v>
      </c>
      <c r="H79" s="123">
        <f>H80</f>
        <v>6478.5020000000004</v>
      </c>
      <c r="I79" s="123">
        <f>I80</f>
        <v>8630.5</v>
      </c>
      <c r="J79" s="123">
        <f>J80</f>
        <v>8800</v>
      </c>
      <c r="K79" s="123">
        <f t="shared" ref="K79:L79" si="20">K80</f>
        <v>8800</v>
      </c>
      <c r="L79" s="123">
        <f t="shared" si="20"/>
        <v>8800</v>
      </c>
      <c r="M79" s="270"/>
    </row>
    <row r="80" spans="1:17" ht="96" x14ac:dyDescent="0.2">
      <c r="A80" s="22" t="s">
        <v>126</v>
      </c>
      <c r="B80" s="293">
        <v>100</v>
      </c>
      <c r="C80" s="295" t="s">
        <v>611</v>
      </c>
      <c r="D80" s="297" t="s">
        <v>123</v>
      </c>
      <c r="E80" s="295" t="s">
        <v>402</v>
      </c>
      <c r="F80" s="94">
        <f>10100232.74/1000</f>
        <v>10100.232739999999</v>
      </c>
      <c r="G80" s="291">
        <v>9355.9339999999993</v>
      </c>
      <c r="H80" s="291">
        <v>6478.5020000000004</v>
      </c>
      <c r="I80" s="291">
        <v>8630.5</v>
      </c>
      <c r="J80" s="291">
        <v>8800</v>
      </c>
      <c r="K80" s="291">
        <v>8800</v>
      </c>
      <c r="L80" s="291">
        <v>8800</v>
      </c>
      <c r="M80" s="270"/>
    </row>
    <row r="81" spans="1:17" ht="72" x14ac:dyDescent="0.2">
      <c r="A81" s="22" t="s">
        <v>548</v>
      </c>
      <c r="B81" s="294"/>
      <c r="C81" s="296"/>
      <c r="D81" s="298"/>
      <c r="E81" s="296"/>
      <c r="F81" s="94"/>
      <c r="G81" s="292"/>
      <c r="H81" s="292"/>
      <c r="I81" s="292"/>
      <c r="J81" s="292"/>
      <c r="K81" s="292"/>
      <c r="L81" s="292"/>
      <c r="M81" s="270"/>
    </row>
    <row r="82" spans="1:17" s="26" customFormat="1" ht="48" x14ac:dyDescent="0.2">
      <c r="A82" s="39" t="s">
        <v>129</v>
      </c>
      <c r="B82" s="39"/>
      <c r="C82" s="40"/>
      <c r="D82" s="40"/>
      <c r="E82" s="40"/>
      <c r="F82" s="93"/>
      <c r="G82" s="125"/>
      <c r="H82" s="210"/>
      <c r="I82" s="126"/>
      <c r="J82" s="123"/>
      <c r="K82" s="123"/>
      <c r="L82" s="123"/>
      <c r="M82" s="270"/>
      <c r="N82" s="254"/>
      <c r="O82" s="255"/>
      <c r="P82" s="256"/>
      <c r="Q82" s="256"/>
    </row>
    <row r="83" spans="1:17" ht="36" x14ac:dyDescent="0.2">
      <c r="A83" s="23"/>
      <c r="B83" s="23"/>
      <c r="C83" s="28" t="s">
        <v>612</v>
      </c>
      <c r="D83" s="23" t="s">
        <v>131</v>
      </c>
      <c r="E83" s="28"/>
      <c r="F83" s="94">
        <f>40000/1000</f>
        <v>40</v>
      </c>
      <c r="G83" s="123">
        <f>G84</f>
        <v>0</v>
      </c>
      <c r="H83" s="123">
        <f>H84</f>
        <v>0</v>
      </c>
      <c r="I83" s="123">
        <f t="shared" ref="I83:L83" si="21">I84</f>
        <v>20</v>
      </c>
      <c r="J83" s="123">
        <f t="shared" si="21"/>
        <v>15</v>
      </c>
      <c r="K83" s="123">
        <f t="shared" si="21"/>
        <v>15</v>
      </c>
      <c r="L83" s="123">
        <f t="shared" si="21"/>
        <v>65</v>
      </c>
      <c r="M83" s="270"/>
    </row>
    <row r="84" spans="1:17" ht="108" x14ac:dyDescent="0.2">
      <c r="A84" s="23" t="s">
        <v>134</v>
      </c>
      <c r="B84" s="28" t="s">
        <v>437</v>
      </c>
      <c r="C84" s="28" t="s">
        <v>613</v>
      </c>
      <c r="D84" s="23" t="s">
        <v>131</v>
      </c>
      <c r="E84" s="45" t="s">
        <v>774</v>
      </c>
      <c r="F84" s="94">
        <f>40000/1000</f>
        <v>40</v>
      </c>
      <c r="G84" s="123">
        <v>0</v>
      </c>
      <c r="H84" s="123">
        <v>0</v>
      </c>
      <c r="I84" s="123">
        <v>20</v>
      </c>
      <c r="J84" s="123">
        <v>15</v>
      </c>
      <c r="K84" s="123">
        <v>15</v>
      </c>
      <c r="L84" s="123">
        <v>65</v>
      </c>
      <c r="M84" s="270"/>
    </row>
    <row r="85" spans="1:17" s="26" customFormat="1" ht="36" x14ac:dyDescent="0.2">
      <c r="A85" s="39" t="s">
        <v>1065</v>
      </c>
      <c r="B85" s="39"/>
      <c r="C85" s="40"/>
      <c r="D85" s="40"/>
      <c r="E85" s="40"/>
      <c r="F85" s="96"/>
      <c r="G85" s="125"/>
      <c r="H85" s="125"/>
      <c r="I85" s="126"/>
      <c r="J85" s="126"/>
      <c r="K85" s="126"/>
      <c r="L85" s="126"/>
      <c r="M85" s="271"/>
      <c r="N85" s="254"/>
      <c r="O85" s="255"/>
      <c r="P85" s="256"/>
      <c r="Q85" s="256"/>
    </row>
    <row r="86" spans="1:17" s="243" customFormat="1" ht="84" hidden="1" x14ac:dyDescent="0.2">
      <c r="A86" s="116" t="s">
        <v>138</v>
      </c>
      <c r="B86" s="302" t="s">
        <v>437</v>
      </c>
      <c r="C86" s="302" t="s">
        <v>614</v>
      </c>
      <c r="D86" s="304" t="s">
        <v>137</v>
      </c>
      <c r="E86" s="302" t="s">
        <v>402</v>
      </c>
      <c r="F86" s="306">
        <f>16.68/1000</f>
        <v>1.668E-2</v>
      </c>
      <c r="G86" s="299">
        <v>1.2999999999999999E-2</v>
      </c>
      <c r="H86" s="299">
        <v>1.2999999999999999E-2</v>
      </c>
      <c r="I86" s="299">
        <v>0</v>
      </c>
      <c r="J86" s="299">
        <v>0</v>
      </c>
      <c r="K86" s="299">
        <v>0</v>
      </c>
      <c r="L86" s="299">
        <v>0</v>
      </c>
      <c r="M86" s="274"/>
      <c r="N86" s="241"/>
      <c r="O86" s="242"/>
    </row>
    <row r="87" spans="1:17" s="243" customFormat="1" ht="60" hidden="1" x14ac:dyDescent="0.2">
      <c r="A87" s="116" t="s">
        <v>461</v>
      </c>
      <c r="B87" s="303"/>
      <c r="C87" s="303"/>
      <c r="D87" s="305"/>
      <c r="E87" s="303"/>
      <c r="F87" s="307"/>
      <c r="G87" s="300"/>
      <c r="H87" s="300"/>
      <c r="I87" s="300"/>
      <c r="J87" s="300"/>
      <c r="K87" s="300"/>
      <c r="L87" s="300"/>
      <c r="M87" s="274"/>
      <c r="N87" s="241"/>
      <c r="O87" s="242"/>
    </row>
    <row r="88" spans="1:17" s="243" customFormat="1" ht="36" hidden="1" x14ac:dyDescent="0.2">
      <c r="A88" s="116" t="s">
        <v>140</v>
      </c>
      <c r="B88" s="244" t="s">
        <v>438</v>
      </c>
      <c r="C88" s="244" t="s">
        <v>615</v>
      </c>
      <c r="D88" s="116" t="s">
        <v>139</v>
      </c>
      <c r="E88" s="244" t="s">
        <v>402</v>
      </c>
      <c r="F88" s="245">
        <f>29.79/1000</f>
        <v>2.9790000000000001E-2</v>
      </c>
      <c r="G88" s="246">
        <v>0</v>
      </c>
      <c r="H88" s="246">
        <v>0</v>
      </c>
      <c r="I88" s="246">
        <v>0</v>
      </c>
      <c r="J88" s="246">
        <v>0</v>
      </c>
      <c r="K88" s="246">
        <v>0</v>
      </c>
      <c r="L88" s="246">
        <v>0</v>
      </c>
      <c r="M88" s="274"/>
      <c r="N88" s="241"/>
      <c r="O88" s="242"/>
    </row>
    <row r="89" spans="1:17" ht="12" x14ac:dyDescent="0.2">
      <c r="A89" s="23"/>
      <c r="B89" s="148"/>
      <c r="C89" s="28" t="s">
        <v>1031</v>
      </c>
      <c r="D89" s="23" t="s">
        <v>711</v>
      </c>
      <c r="E89" s="28"/>
      <c r="F89" s="94"/>
      <c r="G89" s="123">
        <f>G90</f>
        <v>0.19500000000000001</v>
      </c>
      <c r="H89" s="123">
        <f t="shared" ref="H89:L89" si="22">H90</f>
        <v>0</v>
      </c>
      <c r="I89" s="123">
        <f t="shared" si="22"/>
        <v>0</v>
      </c>
      <c r="J89" s="123">
        <f t="shared" si="22"/>
        <v>0</v>
      </c>
      <c r="K89" s="123">
        <f t="shared" si="22"/>
        <v>0</v>
      </c>
      <c r="L89" s="123">
        <f t="shared" si="22"/>
        <v>0</v>
      </c>
      <c r="M89" s="270"/>
    </row>
    <row r="90" spans="1:17" ht="36" x14ac:dyDescent="0.2">
      <c r="A90" s="22" t="s">
        <v>713</v>
      </c>
      <c r="B90" s="91" t="s">
        <v>763</v>
      </c>
      <c r="C90" s="28" t="s">
        <v>762</v>
      </c>
      <c r="D90" s="23" t="s">
        <v>711</v>
      </c>
      <c r="E90" s="28" t="s">
        <v>402</v>
      </c>
      <c r="F90" s="94">
        <f>0.22/1000</f>
        <v>2.2000000000000001E-4</v>
      </c>
      <c r="G90" s="123">
        <v>0.19500000000000001</v>
      </c>
      <c r="H90" s="123">
        <v>0</v>
      </c>
      <c r="I90" s="123">
        <v>0</v>
      </c>
      <c r="J90" s="123">
        <v>0</v>
      </c>
      <c r="K90" s="123">
        <v>0</v>
      </c>
      <c r="L90" s="123">
        <v>0</v>
      </c>
      <c r="M90" s="270"/>
    </row>
    <row r="91" spans="1:17" ht="36" x14ac:dyDescent="0.2">
      <c r="A91" s="20" t="s">
        <v>143</v>
      </c>
      <c r="B91" s="20"/>
      <c r="C91" s="27"/>
      <c r="D91" s="27"/>
      <c r="E91" s="27"/>
      <c r="F91" s="96"/>
      <c r="G91" s="125"/>
      <c r="H91" s="125"/>
      <c r="I91" s="126"/>
      <c r="J91" s="283"/>
      <c r="K91" s="283"/>
      <c r="L91" s="283"/>
      <c r="M91" s="271"/>
      <c r="N91" s="241">
        <f>I92+I95+I97+I102+I105+I108+I111+I114</f>
        <v>14849.764999999998</v>
      </c>
      <c r="O91" s="241">
        <f t="shared" ref="O91:P91" si="23">J92+J95+J97+J102+J105+J108+J111+J114</f>
        <v>13188.9</v>
      </c>
      <c r="P91" s="241">
        <f t="shared" si="23"/>
        <v>12475.7</v>
      </c>
      <c r="Q91" s="241">
        <f>L92+L95+L97+L102+L105+L108+L111+L114</f>
        <v>12752.8</v>
      </c>
    </row>
    <row r="92" spans="1:17" ht="48" x14ac:dyDescent="0.2">
      <c r="A92" s="20"/>
      <c r="B92" s="20"/>
      <c r="C92" s="28" t="s">
        <v>616</v>
      </c>
      <c r="D92" s="23" t="s">
        <v>145</v>
      </c>
      <c r="E92" s="27"/>
      <c r="F92" s="94">
        <f>1127.05/1000</f>
        <v>1.1270499999999999</v>
      </c>
      <c r="G92" s="123">
        <f>G93</f>
        <v>8.15</v>
      </c>
      <c r="H92" s="123">
        <f>H93</f>
        <v>0</v>
      </c>
      <c r="I92" s="123">
        <f t="shared" ref="I92:L92" si="24">I93</f>
        <v>3.7749999999999999</v>
      </c>
      <c r="J92" s="123">
        <f t="shared" si="24"/>
        <v>0</v>
      </c>
      <c r="K92" s="123">
        <f t="shared" si="24"/>
        <v>0</v>
      </c>
      <c r="L92" s="123">
        <f t="shared" si="24"/>
        <v>0</v>
      </c>
      <c r="M92" s="270"/>
    </row>
    <row r="93" spans="1:17" ht="48" x14ac:dyDescent="0.2">
      <c r="A93" s="23" t="s">
        <v>145</v>
      </c>
      <c r="B93" s="28" t="s">
        <v>437</v>
      </c>
      <c r="C93" s="28" t="s">
        <v>617</v>
      </c>
      <c r="D93" s="23" t="s">
        <v>145</v>
      </c>
      <c r="E93" s="28" t="s">
        <v>2</v>
      </c>
      <c r="F93" s="94">
        <f>1127.05/1000</f>
        <v>1.1270499999999999</v>
      </c>
      <c r="G93" s="123">
        <v>8.15</v>
      </c>
      <c r="H93" s="123">
        <v>0</v>
      </c>
      <c r="I93" s="123">
        <v>3.7749999999999999</v>
      </c>
      <c r="J93" s="123">
        <v>0</v>
      </c>
      <c r="K93" s="123">
        <v>0</v>
      </c>
      <c r="L93" s="123">
        <v>0</v>
      </c>
      <c r="M93" s="270"/>
    </row>
    <row r="94" spans="1:17" s="26" customFormat="1" ht="84" x14ac:dyDescent="0.2">
      <c r="A94" s="39" t="s">
        <v>150</v>
      </c>
      <c r="B94" s="39"/>
      <c r="C94" s="40"/>
      <c r="D94" s="40"/>
      <c r="E94" s="40"/>
      <c r="F94" s="96"/>
      <c r="G94" s="125"/>
      <c r="H94" s="125"/>
      <c r="I94" s="126"/>
      <c r="J94" s="126"/>
      <c r="K94" s="126"/>
      <c r="L94" s="126"/>
      <c r="M94" s="271"/>
      <c r="N94" s="254"/>
      <c r="O94" s="255"/>
      <c r="P94" s="256"/>
      <c r="Q94" s="256"/>
    </row>
    <row r="95" spans="1:17" s="26" customFormat="1" ht="120" x14ac:dyDescent="0.2">
      <c r="A95" s="39"/>
      <c r="B95" s="39"/>
      <c r="C95" s="28" t="s">
        <v>618</v>
      </c>
      <c r="D95" s="22" t="s">
        <v>716</v>
      </c>
      <c r="E95" s="40"/>
      <c r="F95" s="94">
        <v>0</v>
      </c>
      <c r="G95" s="123">
        <f>G96</f>
        <v>4812.5739999999996</v>
      </c>
      <c r="H95" s="123">
        <f>H96</f>
        <v>5008.9740000000002</v>
      </c>
      <c r="I95" s="123">
        <f t="shared" ref="I95:L95" si="25">I96</f>
        <v>6538.9</v>
      </c>
      <c r="J95" s="123">
        <f t="shared" si="25"/>
        <v>6500</v>
      </c>
      <c r="K95" s="123">
        <f t="shared" si="25"/>
        <v>6495</v>
      </c>
      <c r="L95" s="123">
        <f t="shared" si="25"/>
        <v>6305</v>
      </c>
      <c r="M95" s="274">
        <f>I95+I97+I102</f>
        <v>13492.8</v>
      </c>
      <c r="N95" s="274">
        <f t="shared" ref="N95:P95" si="26">J95+J97+J102</f>
        <v>12198.7</v>
      </c>
      <c r="O95" s="274">
        <f t="shared" si="26"/>
        <v>11952.2</v>
      </c>
      <c r="P95" s="274">
        <f t="shared" si="26"/>
        <v>12264.2</v>
      </c>
      <c r="Q95" s="256"/>
    </row>
    <row r="96" spans="1:17" s="26" customFormat="1" ht="120" x14ac:dyDescent="0.2">
      <c r="A96" s="22" t="s">
        <v>716</v>
      </c>
      <c r="B96" s="30" t="s">
        <v>437</v>
      </c>
      <c r="C96" s="41" t="s">
        <v>619</v>
      </c>
      <c r="D96" s="22" t="s">
        <v>716</v>
      </c>
      <c r="E96" s="45" t="s">
        <v>774</v>
      </c>
      <c r="F96" s="94">
        <v>0</v>
      </c>
      <c r="G96" s="123">
        <v>4812.5739999999996</v>
      </c>
      <c r="H96" s="123">
        <v>5008.9740000000002</v>
      </c>
      <c r="I96" s="123">
        <v>6538.9</v>
      </c>
      <c r="J96" s="123">
        <v>6500</v>
      </c>
      <c r="K96" s="123">
        <v>6495</v>
      </c>
      <c r="L96" s="123">
        <v>6305</v>
      </c>
      <c r="M96" s="270"/>
      <c r="N96" s="254"/>
      <c r="O96" s="255"/>
      <c r="P96" s="256"/>
      <c r="Q96" s="256"/>
    </row>
    <row r="97" spans="1:17" ht="96" x14ac:dyDescent="0.2">
      <c r="A97" s="21"/>
      <c r="B97" s="21"/>
      <c r="C97" s="28" t="s">
        <v>621</v>
      </c>
      <c r="D97" s="22" t="s">
        <v>152</v>
      </c>
      <c r="E97" s="28"/>
      <c r="F97" s="94">
        <f>5921592.07/1000</f>
        <v>5921.5920700000006</v>
      </c>
      <c r="G97" s="123">
        <v>10594.749</v>
      </c>
      <c r="H97" s="123">
        <v>5039.8500000000004</v>
      </c>
      <c r="I97" s="123">
        <f>I98+I99+I100</f>
        <v>6595.9</v>
      </c>
      <c r="J97" s="123">
        <f>J98+J99+J100</f>
        <v>5438.7</v>
      </c>
      <c r="K97" s="123">
        <f t="shared" ref="K97:L97" si="27">K98+K99+K100</f>
        <v>5211.2</v>
      </c>
      <c r="L97" s="123">
        <f t="shared" si="27"/>
        <v>5713.2</v>
      </c>
      <c r="M97" s="270"/>
    </row>
    <row r="98" spans="1:17" ht="108" x14ac:dyDescent="0.2">
      <c r="A98" s="22" t="s">
        <v>152</v>
      </c>
      <c r="B98" s="30">
        <v>50</v>
      </c>
      <c r="C98" s="41" t="s">
        <v>620</v>
      </c>
      <c r="D98" s="42" t="s">
        <v>152</v>
      </c>
      <c r="E98" s="45" t="s">
        <v>774</v>
      </c>
      <c r="F98" s="94">
        <f>3604235.21/1000</f>
        <v>3604.2352099999998</v>
      </c>
      <c r="G98" s="123">
        <v>1708.164</v>
      </c>
      <c r="H98" s="123">
        <v>0</v>
      </c>
      <c r="I98" s="123">
        <v>0</v>
      </c>
      <c r="J98" s="123">
        <v>0</v>
      </c>
      <c r="K98" s="123">
        <v>0</v>
      </c>
      <c r="L98" s="123">
        <v>0</v>
      </c>
      <c r="M98" s="275"/>
    </row>
    <row r="99" spans="1:17" ht="96" x14ac:dyDescent="0.2">
      <c r="A99" s="22" t="s">
        <v>152</v>
      </c>
      <c r="B99" s="30">
        <v>50</v>
      </c>
      <c r="C99" s="41" t="s">
        <v>622</v>
      </c>
      <c r="D99" s="42" t="s">
        <v>152</v>
      </c>
      <c r="E99" s="47" t="s">
        <v>441</v>
      </c>
      <c r="F99" s="94">
        <f>1413123.56/1000</f>
        <v>1413.12356</v>
      </c>
      <c r="G99" s="123">
        <v>3464.6610000000001</v>
      </c>
      <c r="H99" s="123">
        <v>2117.1999999999998</v>
      </c>
      <c r="I99" s="123">
        <v>3097.7</v>
      </c>
      <c r="J99" s="123">
        <v>2632</v>
      </c>
      <c r="K99" s="123">
        <v>2404.5</v>
      </c>
      <c r="L99" s="123">
        <v>2906.5</v>
      </c>
      <c r="M99" s="270"/>
    </row>
    <row r="100" spans="1:17" ht="96" x14ac:dyDescent="0.2">
      <c r="A100" s="22" t="s">
        <v>152</v>
      </c>
      <c r="B100" s="30">
        <v>50</v>
      </c>
      <c r="C100" s="41" t="s">
        <v>623</v>
      </c>
      <c r="D100" s="42" t="s">
        <v>152</v>
      </c>
      <c r="E100" s="47" t="s">
        <v>764</v>
      </c>
      <c r="F100" s="94">
        <f>904233.3/1000</f>
        <v>904.2333000000001</v>
      </c>
      <c r="G100" s="123">
        <v>5421.924</v>
      </c>
      <c r="H100" s="123">
        <v>2922.65</v>
      </c>
      <c r="I100" s="123">
        <v>3498.2</v>
      </c>
      <c r="J100" s="123">
        <v>2806.7</v>
      </c>
      <c r="K100" s="123">
        <v>2806.7</v>
      </c>
      <c r="L100" s="123">
        <v>2806.7</v>
      </c>
      <c r="M100" s="270"/>
    </row>
    <row r="101" spans="1:17" ht="108" x14ac:dyDescent="0.2">
      <c r="A101" s="43" t="s">
        <v>464</v>
      </c>
      <c r="B101" s="30"/>
      <c r="C101" s="41"/>
      <c r="D101" s="42"/>
      <c r="E101" s="41"/>
      <c r="F101" s="94"/>
      <c r="G101" s="124"/>
      <c r="H101" s="124"/>
      <c r="I101" s="126"/>
      <c r="J101" s="126"/>
      <c r="K101" s="126"/>
      <c r="L101" s="126"/>
      <c r="M101" s="271"/>
    </row>
    <row r="102" spans="1:17" ht="96" x14ac:dyDescent="0.2">
      <c r="A102" s="22"/>
      <c r="B102" s="30"/>
      <c r="C102" s="41" t="s">
        <v>624</v>
      </c>
      <c r="D102" s="22" t="s">
        <v>466</v>
      </c>
      <c r="E102" s="41"/>
      <c r="F102" s="94">
        <v>0</v>
      </c>
      <c r="G102" s="123">
        <f>G103</f>
        <v>771.10900000000004</v>
      </c>
      <c r="H102" s="123">
        <f>H103</f>
        <v>297.05799999999999</v>
      </c>
      <c r="I102" s="123">
        <f t="shared" ref="I102:L102" si="28">I103</f>
        <v>358</v>
      </c>
      <c r="J102" s="123">
        <f t="shared" si="28"/>
        <v>260</v>
      </c>
      <c r="K102" s="123">
        <f t="shared" si="28"/>
        <v>246</v>
      </c>
      <c r="L102" s="123">
        <f t="shared" si="28"/>
        <v>246</v>
      </c>
      <c r="M102" s="270"/>
    </row>
    <row r="103" spans="1:17" ht="108" x14ac:dyDescent="0.2">
      <c r="A103" s="22" t="s">
        <v>466</v>
      </c>
      <c r="B103" s="30" t="s">
        <v>437</v>
      </c>
      <c r="C103" s="41" t="s">
        <v>625</v>
      </c>
      <c r="D103" s="22" t="s">
        <v>466</v>
      </c>
      <c r="E103" s="45" t="s">
        <v>774</v>
      </c>
      <c r="F103" s="94">
        <v>0</v>
      </c>
      <c r="G103" s="123">
        <v>771.10900000000004</v>
      </c>
      <c r="H103" s="123">
        <v>297.05799999999999</v>
      </c>
      <c r="I103" s="123">
        <v>358</v>
      </c>
      <c r="J103" s="123">
        <v>260</v>
      </c>
      <c r="K103" s="123">
        <v>246</v>
      </c>
      <c r="L103" s="123">
        <v>246</v>
      </c>
      <c r="M103" s="270"/>
    </row>
    <row r="104" spans="1:17" s="36" customFormat="1" ht="108" x14ac:dyDescent="0.2">
      <c r="A104" s="43" t="s">
        <v>157</v>
      </c>
      <c r="B104" s="43"/>
      <c r="C104" s="37"/>
      <c r="D104" s="35"/>
      <c r="E104" s="35"/>
      <c r="F104" s="96"/>
      <c r="G104" s="125"/>
      <c r="H104" s="125"/>
      <c r="I104" s="126"/>
      <c r="J104" s="126"/>
      <c r="K104" s="126"/>
      <c r="L104" s="126"/>
      <c r="M104" s="271"/>
      <c r="N104" s="241"/>
      <c r="O104" s="242"/>
      <c r="P104" s="243"/>
      <c r="Q104" s="243"/>
    </row>
    <row r="105" spans="1:17" ht="84" x14ac:dyDescent="0.2">
      <c r="A105" s="20"/>
      <c r="B105" s="20"/>
      <c r="C105" s="28" t="s">
        <v>626</v>
      </c>
      <c r="D105" s="23" t="s">
        <v>159</v>
      </c>
      <c r="E105" s="27"/>
      <c r="F105" s="94">
        <f>123846.48/1000</f>
        <v>123.84648</v>
      </c>
      <c r="G105" s="123">
        <f>G106</f>
        <v>23.899000000000001</v>
      </c>
      <c r="H105" s="123">
        <f>H106</f>
        <v>3.4180000000000001</v>
      </c>
      <c r="I105" s="123">
        <f t="shared" ref="I105:L105" si="29">I106</f>
        <v>0</v>
      </c>
      <c r="J105" s="123">
        <f t="shared" si="29"/>
        <v>0</v>
      </c>
      <c r="K105" s="123">
        <f t="shared" si="29"/>
        <v>0</v>
      </c>
      <c r="L105" s="123">
        <f t="shared" si="29"/>
        <v>0</v>
      </c>
      <c r="M105" s="270"/>
    </row>
    <row r="106" spans="1:17" ht="108" x14ac:dyDescent="0.2">
      <c r="A106" s="23" t="s">
        <v>159</v>
      </c>
      <c r="B106" s="28" t="s">
        <v>437</v>
      </c>
      <c r="C106" s="28" t="s">
        <v>627</v>
      </c>
      <c r="D106" s="23" t="s">
        <v>159</v>
      </c>
      <c r="E106" s="45" t="s">
        <v>774</v>
      </c>
      <c r="F106" s="94">
        <f>123846.48/1000</f>
        <v>123.84648</v>
      </c>
      <c r="G106" s="123">
        <v>23.899000000000001</v>
      </c>
      <c r="H106" s="123">
        <v>3.4180000000000001</v>
      </c>
      <c r="I106" s="123">
        <v>0</v>
      </c>
      <c r="J106" s="123">
        <v>0</v>
      </c>
      <c r="K106" s="123">
        <v>0</v>
      </c>
      <c r="L106" s="123">
        <v>0</v>
      </c>
      <c r="M106" s="270"/>
    </row>
    <row r="107" spans="1:17" ht="60" x14ac:dyDescent="0.2">
      <c r="A107" s="43" t="s">
        <v>468</v>
      </c>
      <c r="B107" s="28"/>
      <c r="C107" s="28"/>
      <c r="D107" s="23"/>
      <c r="E107" s="28"/>
      <c r="F107" s="94"/>
      <c r="G107" s="125"/>
      <c r="H107" s="125"/>
      <c r="I107" s="126"/>
      <c r="J107" s="126"/>
      <c r="K107" s="126"/>
      <c r="L107" s="126"/>
      <c r="M107" s="271"/>
    </row>
    <row r="108" spans="1:17" ht="180" x14ac:dyDescent="0.2">
      <c r="A108" s="23"/>
      <c r="B108" s="28"/>
      <c r="C108" s="28" t="s">
        <v>1042</v>
      </c>
      <c r="D108" s="22" t="s">
        <v>907</v>
      </c>
      <c r="E108" s="28"/>
      <c r="F108" s="94">
        <v>0</v>
      </c>
      <c r="G108" s="123">
        <f>G109</f>
        <v>0</v>
      </c>
      <c r="H108" s="123">
        <f>H109</f>
        <v>1.139</v>
      </c>
      <c r="I108" s="123">
        <f t="shared" ref="I108:L108" si="30">I109</f>
        <v>1.139</v>
      </c>
      <c r="J108" s="123">
        <f t="shared" si="30"/>
        <v>1.8</v>
      </c>
      <c r="K108" s="123">
        <f t="shared" si="30"/>
        <v>1.8</v>
      </c>
      <c r="L108" s="123">
        <f t="shared" si="30"/>
        <v>1.8</v>
      </c>
      <c r="M108" s="270"/>
    </row>
    <row r="109" spans="1:17" ht="180" x14ac:dyDescent="0.2">
      <c r="A109" s="22" t="s">
        <v>907</v>
      </c>
      <c r="B109" s="28" t="s">
        <v>437</v>
      </c>
      <c r="C109" s="28" t="s">
        <v>1041</v>
      </c>
      <c r="D109" s="22" t="s">
        <v>907</v>
      </c>
      <c r="E109" s="45" t="s">
        <v>774</v>
      </c>
      <c r="F109" s="94">
        <v>0</v>
      </c>
      <c r="G109" s="123">
        <v>0</v>
      </c>
      <c r="H109" s="123">
        <v>1.139</v>
      </c>
      <c r="I109" s="123">
        <v>1.139</v>
      </c>
      <c r="J109" s="123">
        <v>1.8</v>
      </c>
      <c r="K109" s="123">
        <v>1.8</v>
      </c>
      <c r="L109" s="123">
        <v>1.8</v>
      </c>
      <c r="M109" s="270"/>
    </row>
    <row r="110" spans="1:17" ht="72" x14ac:dyDescent="0.2">
      <c r="A110" s="43" t="s">
        <v>912</v>
      </c>
      <c r="B110" s="28"/>
      <c r="C110" s="28"/>
      <c r="D110" s="22"/>
      <c r="E110" s="45"/>
      <c r="F110" s="94"/>
      <c r="G110" s="123"/>
      <c r="H110" s="123"/>
      <c r="I110" s="124"/>
      <c r="J110" s="124"/>
      <c r="K110" s="124"/>
      <c r="L110" s="124"/>
      <c r="M110" s="270"/>
    </row>
    <row r="111" spans="1:17" ht="72" x14ac:dyDescent="0.2">
      <c r="A111" s="22"/>
      <c r="B111" s="28"/>
      <c r="C111" s="28" t="s">
        <v>1044</v>
      </c>
      <c r="D111" s="22" t="s">
        <v>914</v>
      </c>
      <c r="E111" s="45"/>
      <c r="F111" s="94"/>
      <c r="G111" s="123">
        <f>G112</f>
        <v>0</v>
      </c>
      <c r="H111" s="123">
        <f t="shared" ref="H111:L111" si="31">H112</f>
        <v>9</v>
      </c>
      <c r="I111" s="123">
        <f t="shared" si="31"/>
        <v>9</v>
      </c>
      <c r="J111" s="123">
        <f t="shared" si="31"/>
        <v>3.4</v>
      </c>
      <c r="K111" s="123">
        <f t="shared" si="31"/>
        <v>2.7</v>
      </c>
      <c r="L111" s="123">
        <f t="shared" si="31"/>
        <v>2.8</v>
      </c>
      <c r="M111" s="275"/>
    </row>
    <row r="112" spans="1:17" ht="108" x14ac:dyDescent="0.2">
      <c r="A112" s="22" t="s">
        <v>914</v>
      </c>
      <c r="B112" s="28" t="s">
        <v>437</v>
      </c>
      <c r="C112" s="28" t="s">
        <v>1043</v>
      </c>
      <c r="D112" s="22" t="s">
        <v>914</v>
      </c>
      <c r="E112" s="45" t="s">
        <v>774</v>
      </c>
      <c r="F112" s="94"/>
      <c r="G112" s="123">
        <v>0</v>
      </c>
      <c r="H112" s="123">
        <v>9</v>
      </c>
      <c r="I112" s="123">
        <v>9</v>
      </c>
      <c r="J112" s="123">
        <v>3.4</v>
      </c>
      <c r="K112" s="123">
        <v>2.7</v>
      </c>
      <c r="L112" s="123">
        <v>2.8</v>
      </c>
      <c r="M112" s="270"/>
    </row>
    <row r="113" spans="1:17" ht="108" x14ac:dyDescent="0.2">
      <c r="A113" s="43" t="s">
        <v>162</v>
      </c>
      <c r="B113" s="21"/>
      <c r="C113" s="27"/>
      <c r="D113" s="27"/>
      <c r="E113" s="27"/>
      <c r="F113" s="96"/>
      <c r="G113" s="125"/>
      <c r="H113" s="125"/>
      <c r="I113" s="126"/>
      <c r="J113" s="126"/>
      <c r="K113" s="126"/>
      <c r="L113" s="126"/>
      <c r="M113" s="271"/>
    </row>
    <row r="114" spans="1:17" ht="96" x14ac:dyDescent="0.2">
      <c r="A114" s="23"/>
      <c r="B114" s="23"/>
      <c r="C114" s="28" t="s">
        <v>628</v>
      </c>
      <c r="D114" s="23" t="s">
        <v>166</v>
      </c>
      <c r="E114" s="28"/>
      <c r="F114" s="94">
        <f>905651.86/1000</f>
        <v>905.65185999999994</v>
      </c>
      <c r="G114" s="123">
        <f>G115</f>
        <v>1049.722</v>
      </c>
      <c r="H114" s="123">
        <f>H115</f>
        <v>1051.5650000000001</v>
      </c>
      <c r="I114" s="123">
        <f t="shared" ref="I114:L114" si="32">I115</f>
        <v>1343.0509999999999</v>
      </c>
      <c r="J114" s="123">
        <f t="shared" si="32"/>
        <v>985</v>
      </c>
      <c r="K114" s="123">
        <f t="shared" si="32"/>
        <v>519</v>
      </c>
      <c r="L114" s="123">
        <f t="shared" si="32"/>
        <v>484</v>
      </c>
      <c r="M114" s="270"/>
    </row>
    <row r="115" spans="1:17" ht="108" x14ac:dyDescent="0.2">
      <c r="A115" s="23" t="s">
        <v>166</v>
      </c>
      <c r="B115" s="28" t="s">
        <v>437</v>
      </c>
      <c r="C115" s="28" t="s">
        <v>629</v>
      </c>
      <c r="D115" s="23" t="s">
        <v>166</v>
      </c>
      <c r="E115" s="45" t="s">
        <v>774</v>
      </c>
      <c r="F115" s="94">
        <f>905651.86/1000</f>
        <v>905.65185999999994</v>
      </c>
      <c r="G115" s="123">
        <v>1049.722</v>
      </c>
      <c r="H115" s="123">
        <v>1051.5650000000001</v>
      </c>
      <c r="I115" s="123">
        <v>1343.0509999999999</v>
      </c>
      <c r="J115" s="123">
        <v>985</v>
      </c>
      <c r="K115" s="123">
        <v>519</v>
      </c>
      <c r="L115" s="123">
        <v>484</v>
      </c>
      <c r="M115" s="270"/>
    </row>
    <row r="116" spans="1:17" ht="24" x14ac:dyDescent="0.2">
      <c r="A116" s="20" t="s">
        <v>171</v>
      </c>
      <c r="B116" s="20"/>
      <c r="C116" s="27"/>
      <c r="D116" s="27"/>
      <c r="E116" s="27"/>
      <c r="F116" s="96"/>
      <c r="G116" s="125"/>
      <c r="H116" s="125"/>
      <c r="I116" s="126"/>
      <c r="J116" s="126"/>
      <c r="K116" s="126"/>
      <c r="L116" s="126"/>
      <c r="M116" s="271"/>
    </row>
    <row r="117" spans="1:17" ht="36" x14ac:dyDescent="0.2">
      <c r="A117" s="20"/>
      <c r="B117" s="20"/>
      <c r="C117" s="28" t="s">
        <v>630</v>
      </c>
      <c r="D117" s="23" t="s">
        <v>173</v>
      </c>
      <c r="E117" s="27"/>
      <c r="F117" s="94">
        <f>460392/1000</f>
        <v>460.392</v>
      </c>
      <c r="G117" s="123">
        <f>G118</f>
        <v>187.714</v>
      </c>
      <c r="H117" s="123">
        <f>H118</f>
        <v>205.35400000000001</v>
      </c>
      <c r="I117" s="123">
        <f t="shared" ref="I117:L117" si="33">I118</f>
        <v>284</v>
      </c>
      <c r="J117" s="123">
        <f t="shared" si="33"/>
        <v>298.10000000000002</v>
      </c>
      <c r="K117" s="123">
        <f t="shared" si="33"/>
        <v>304.10000000000002</v>
      </c>
      <c r="L117" s="123">
        <f t="shared" si="33"/>
        <v>313.2</v>
      </c>
      <c r="M117" s="270"/>
      <c r="N117" s="241">
        <f>I117+I121+I123+I125</f>
        <v>890</v>
      </c>
      <c r="O117" s="241">
        <f>J117+J121+J123+J125</f>
        <v>995.30000000000007</v>
      </c>
      <c r="P117" s="241">
        <f>K117+K121+K123+K125</f>
        <v>1015.3000000000001</v>
      </c>
      <c r="Q117" s="241">
        <f t="shared" ref="Q117" si="34">L117+L121+L123+L125</f>
        <v>1045.6999999999998</v>
      </c>
    </row>
    <row r="118" spans="1:17" ht="74.25" customHeight="1" x14ac:dyDescent="0.2">
      <c r="A118" s="23" t="s">
        <v>176</v>
      </c>
      <c r="B118" s="28" t="s">
        <v>1094</v>
      </c>
      <c r="C118" s="28" t="s">
        <v>631</v>
      </c>
      <c r="D118" s="23" t="s">
        <v>173</v>
      </c>
      <c r="E118" s="28" t="s">
        <v>442</v>
      </c>
      <c r="F118" s="94">
        <f>460392/1000</f>
        <v>460.392</v>
      </c>
      <c r="G118" s="123">
        <v>187.714</v>
      </c>
      <c r="H118" s="123">
        <v>205.35400000000001</v>
      </c>
      <c r="I118" s="123">
        <v>284</v>
      </c>
      <c r="J118" s="123">
        <v>298.10000000000002</v>
      </c>
      <c r="K118" s="123">
        <v>304.10000000000002</v>
      </c>
      <c r="L118" s="123">
        <v>313.2</v>
      </c>
      <c r="M118" s="270"/>
      <c r="N118" s="257"/>
    </row>
    <row r="119" spans="1:17" s="243" customFormat="1" ht="36" hidden="1" x14ac:dyDescent="0.2">
      <c r="A119" s="115"/>
      <c r="B119" s="260"/>
      <c r="C119" s="244" t="s">
        <v>632</v>
      </c>
      <c r="D119" s="116" t="s">
        <v>179</v>
      </c>
      <c r="E119" s="260"/>
      <c r="F119" s="245">
        <f>7915.61/1000</f>
        <v>7.91561</v>
      </c>
      <c r="G119" s="246">
        <v>0</v>
      </c>
      <c r="H119" s="246">
        <v>0</v>
      </c>
      <c r="I119" s="246">
        <v>0</v>
      </c>
      <c r="J119" s="246">
        <v>0</v>
      </c>
      <c r="K119" s="246">
        <v>0</v>
      </c>
      <c r="L119" s="246">
        <v>0</v>
      </c>
      <c r="M119" s="274"/>
      <c r="N119" s="257"/>
      <c r="O119" s="242"/>
    </row>
    <row r="120" spans="1:17" s="243" customFormat="1" ht="75" hidden="1" customHeight="1" x14ac:dyDescent="0.2">
      <c r="A120" s="116" t="s">
        <v>180</v>
      </c>
      <c r="B120" s="244" t="s">
        <v>446</v>
      </c>
      <c r="C120" s="244" t="s">
        <v>633</v>
      </c>
      <c r="D120" s="116" t="s">
        <v>179</v>
      </c>
      <c r="E120" s="244" t="s">
        <v>442</v>
      </c>
      <c r="F120" s="245">
        <f>7915.61/1000</f>
        <v>7.91561</v>
      </c>
      <c r="G120" s="246">
        <v>0</v>
      </c>
      <c r="H120" s="246">
        <v>0</v>
      </c>
      <c r="I120" s="246">
        <v>0</v>
      </c>
      <c r="J120" s="246">
        <v>0</v>
      </c>
      <c r="K120" s="246">
        <v>0</v>
      </c>
      <c r="L120" s="246">
        <v>0</v>
      </c>
      <c r="M120" s="274"/>
      <c r="N120" s="257"/>
      <c r="O120" s="242"/>
    </row>
    <row r="121" spans="1:17" ht="24" x14ac:dyDescent="0.2">
      <c r="A121" s="20"/>
      <c r="B121" s="27"/>
      <c r="C121" s="28" t="s">
        <v>634</v>
      </c>
      <c r="D121" s="23" t="s">
        <v>181</v>
      </c>
      <c r="E121" s="27"/>
      <c r="F121" s="94">
        <f>39166.84/1000</f>
        <v>39.166839999999993</v>
      </c>
      <c r="G121" s="123">
        <f>G122</f>
        <v>24.155999999999999</v>
      </c>
      <c r="H121" s="123">
        <f>H122</f>
        <v>9.0359999999999996</v>
      </c>
      <c r="I121" s="123">
        <f t="shared" ref="I121:L121" si="35">I122</f>
        <v>16</v>
      </c>
      <c r="J121" s="123">
        <f t="shared" si="35"/>
        <v>18.100000000000001</v>
      </c>
      <c r="K121" s="123">
        <f t="shared" si="35"/>
        <v>18.5</v>
      </c>
      <c r="L121" s="123">
        <f t="shared" si="35"/>
        <v>19</v>
      </c>
      <c r="M121" s="270"/>
      <c r="N121" s="257"/>
    </row>
    <row r="122" spans="1:17" ht="72" x14ac:dyDescent="0.2">
      <c r="A122" s="23" t="s">
        <v>184</v>
      </c>
      <c r="B122" s="28" t="s">
        <v>1094</v>
      </c>
      <c r="C122" s="28" t="s">
        <v>635</v>
      </c>
      <c r="D122" s="23" t="s">
        <v>181</v>
      </c>
      <c r="E122" s="28" t="s">
        <v>442</v>
      </c>
      <c r="F122" s="94">
        <f>39166.84/1000</f>
        <v>39.166839999999993</v>
      </c>
      <c r="G122" s="123">
        <v>24.155999999999999</v>
      </c>
      <c r="H122" s="123">
        <v>9.0359999999999996</v>
      </c>
      <c r="I122" s="123">
        <v>16</v>
      </c>
      <c r="J122" s="123">
        <v>18.100000000000001</v>
      </c>
      <c r="K122" s="123">
        <v>18.5</v>
      </c>
      <c r="L122" s="123">
        <v>19</v>
      </c>
      <c r="M122" s="270"/>
      <c r="N122" s="257"/>
    </row>
    <row r="123" spans="1:17" ht="24" x14ac:dyDescent="0.2">
      <c r="A123" s="20"/>
      <c r="B123" s="27"/>
      <c r="C123" s="28" t="s">
        <v>766</v>
      </c>
      <c r="D123" s="23" t="s">
        <v>717</v>
      </c>
      <c r="E123" s="27"/>
      <c r="F123" s="94">
        <f>902758.73/1000</f>
        <v>902.75873000000001</v>
      </c>
      <c r="G123" s="123">
        <f>G124</f>
        <v>471.072</v>
      </c>
      <c r="H123" s="123">
        <f>H124</f>
        <v>489.524</v>
      </c>
      <c r="I123" s="123">
        <f t="shared" ref="I123:L123" si="36">I124</f>
        <v>580</v>
      </c>
      <c r="J123" s="123">
        <f t="shared" si="36"/>
        <v>668.1</v>
      </c>
      <c r="K123" s="123">
        <f t="shared" si="36"/>
        <v>681.5</v>
      </c>
      <c r="L123" s="123">
        <f t="shared" si="36"/>
        <v>701.9</v>
      </c>
      <c r="M123" s="270"/>
      <c r="N123" s="257"/>
    </row>
    <row r="124" spans="1:17" ht="63" customHeight="1" x14ac:dyDescent="0.2">
      <c r="A124" s="23" t="s">
        <v>719</v>
      </c>
      <c r="B124" s="28" t="s">
        <v>1094</v>
      </c>
      <c r="C124" s="28" t="s">
        <v>767</v>
      </c>
      <c r="D124" s="23" t="s">
        <v>765</v>
      </c>
      <c r="E124" s="28" t="s">
        <v>442</v>
      </c>
      <c r="F124" s="94">
        <f>902758.73/1000</f>
        <v>902.75873000000001</v>
      </c>
      <c r="G124" s="123">
        <v>471.072</v>
      </c>
      <c r="H124" s="123">
        <v>489.524</v>
      </c>
      <c r="I124" s="123">
        <v>580</v>
      </c>
      <c r="J124" s="123">
        <v>668.1</v>
      </c>
      <c r="K124" s="123">
        <v>681.5</v>
      </c>
      <c r="L124" s="123">
        <v>701.9</v>
      </c>
      <c r="M124" s="270"/>
      <c r="N124" s="257"/>
    </row>
    <row r="125" spans="1:17" ht="24" x14ac:dyDescent="0.2">
      <c r="A125" s="20"/>
      <c r="B125" s="27"/>
      <c r="C125" s="28" t="s">
        <v>768</v>
      </c>
      <c r="D125" s="23" t="s">
        <v>717</v>
      </c>
      <c r="E125" s="27"/>
      <c r="F125" s="94">
        <f>902758.73/1000</f>
        <v>902.75873000000001</v>
      </c>
      <c r="G125" s="123">
        <f>G126</f>
        <v>78.826999999999998</v>
      </c>
      <c r="H125" s="123">
        <f>H126</f>
        <v>0.47399999999999998</v>
      </c>
      <c r="I125" s="123">
        <f t="shared" ref="I125:L125" si="37">I126</f>
        <v>10</v>
      </c>
      <c r="J125" s="123">
        <f t="shared" si="37"/>
        <v>11</v>
      </c>
      <c r="K125" s="123">
        <f t="shared" si="37"/>
        <v>11.2</v>
      </c>
      <c r="L125" s="123">
        <f t="shared" si="37"/>
        <v>11.6</v>
      </c>
      <c r="M125" s="270"/>
      <c r="N125" s="257"/>
    </row>
    <row r="126" spans="1:17" ht="72" x14ac:dyDescent="0.2">
      <c r="A126" s="23" t="s">
        <v>724</v>
      </c>
      <c r="B126" s="28" t="s">
        <v>1094</v>
      </c>
      <c r="C126" s="28" t="s">
        <v>769</v>
      </c>
      <c r="D126" s="23" t="s">
        <v>770</v>
      </c>
      <c r="E126" s="28" t="s">
        <v>442</v>
      </c>
      <c r="F126" s="94">
        <f>902758.73/1000</f>
        <v>902.75873000000001</v>
      </c>
      <c r="G126" s="123">
        <v>78.826999999999998</v>
      </c>
      <c r="H126" s="123">
        <v>0.47399999999999998</v>
      </c>
      <c r="I126" s="123">
        <v>10</v>
      </c>
      <c r="J126" s="123">
        <v>11</v>
      </c>
      <c r="K126" s="123">
        <v>11.2</v>
      </c>
      <c r="L126" s="123">
        <v>11.6</v>
      </c>
      <c r="M126" s="270"/>
    </row>
    <row r="127" spans="1:17" ht="24" x14ac:dyDescent="0.2">
      <c r="A127" s="20" t="s">
        <v>192</v>
      </c>
      <c r="B127" s="20"/>
      <c r="C127" s="27"/>
      <c r="D127" s="27"/>
      <c r="E127" s="27"/>
      <c r="F127" s="96"/>
      <c r="G127" s="125"/>
      <c r="H127" s="125"/>
      <c r="I127" s="126"/>
      <c r="J127" s="126"/>
      <c r="K127" s="126"/>
      <c r="L127" s="126"/>
      <c r="M127" s="271"/>
    </row>
    <row r="128" spans="1:17" ht="36" x14ac:dyDescent="0.2">
      <c r="A128" s="20"/>
      <c r="B128" s="20"/>
      <c r="C128" s="28" t="s">
        <v>636</v>
      </c>
      <c r="D128" s="23" t="s">
        <v>196</v>
      </c>
      <c r="E128" s="27"/>
      <c r="F128" s="94">
        <f>43910363.03/1000</f>
        <v>43910.36303</v>
      </c>
      <c r="G128" s="123">
        <v>50865.491999999998</v>
      </c>
      <c r="H128" s="123">
        <v>41620.186999999998</v>
      </c>
      <c r="I128" s="123">
        <f>I129+I130</f>
        <v>59321.796000000002</v>
      </c>
      <c r="J128" s="123">
        <f>J129+J130</f>
        <v>64773.1</v>
      </c>
      <c r="K128" s="123">
        <f t="shared" ref="K128:L128" si="38">K129+K130</f>
        <v>64773.1</v>
      </c>
      <c r="L128" s="123">
        <f t="shared" si="38"/>
        <v>64773.1</v>
      </c>
      <c r="M128" s="270"/>
      <c r="N128" s="241">
        <f>I128+I132</f>
        <v>62783.082000000002</v>
      </c>
      <c r="O128" s="241">
        <f>J128+J132</f>
        <v>64773.1</v>
      </c>
      <c r="P128" s="241">
        <f t="shared" ref="P128:Q128" si="39">K128+K132</f>
        <v>64773.1</v>
      </c>
      <c r="Q128" s="241">
        <f t="shared" si="39"/>
        <v>64773.1</v>
      </c>
    </row>
    <row r="129" spans="1:17" ht="48" x14ac:dyDescent="0.2">
      <c r="A129" s="23" t="s">
        <v>196</v>
      </c>
      <c r="B129" s="28" t="s">
        <v>437</v>
      </c>
      <c r="C129" s="28" t="s">
        <v>637</v>
      </c>
      <c r="D129" s="23" t="s">
        <v>196</v>
      </c>
      <c r="E129" s="28" t="s">
        <v>775</v>
      </c>
      <c r="F129" s="94">
        <f>83348.95/1000</f>
        <v>83.348950000000002</v>
      </c>
      <c r="G129" s="123">
        <v>86</v>
      </c>
      <c r="H129" s="123">
        <v>90.64</v>
      </c>
      <c r="I129" s="123">
        <v>113</v>
      </c>
      <c r="J129" s="123">
        <v>113</v>
      </c>
      <c r="K129" s="123">
        <v>113</v>
      </c>
      <c r="L129" s="123">
        <v>113</v>
      </c>
      <c r="M129" s="270"/>
    </row>
    <row r="130" spans="1:17" ht="36" x14ac:dyDescent="0.2">
      <c r="A130" s="23" t="s">
        <v>444</v>
      </c>
      <c r="B130" s="28" t="s">
        <v>437</v>
      </c>
      <c r="C130" s="28" t="s">
        <v>638</v>
      </c>
      <c r="D130" s="23" t="s">
        <v>196</v>
      </c>
      <c r="E130" s="28" t="s">
        <v>440</v>
      </c>
      <c r="F130" s="94">
        <f>(43157840.36+669173.72)/1000</f>
        <v>43827.014080000001</v>
      </c>
      <c r="G130" s="123">
        <f>49974.612+31.644+773.236</f>
        <v>50779.491999999998</v>
      </c>
      <c r="H130" s="123">
        <f>40746.251+783.296</f>
        <v>41529.546999999999</v>
      </c>
      <c r="I130" s="123">
        <f>58425.5+783.296</f>
        <v>59208.796000000002</v>
      </c>
      <c r="J130" s="123">
        <v>64660.1</v>
      </c>
      <c r="K130" s="123">
        <v>64660.1</v>
      </c>
      <c r="L130" s="123">
        <v>64660.1</v>
      </c>
      <c r="M130" s="270"/>
    </row>
    <row r="131" spans="1:17" ht="24" x14ac:dyDescent="0.2">
      <c r="A131" s="20" t="s">
        <v>207</v>
      </c>
      <c r="B131" s="20"/>
      <c r="C131" s="27"/>
      <c r="D131" s="27"/>
      <c r="E131" s="27"/>
      <c r="F131" s="96"/>
      <c r="G131" s="125"/>
      <c r="H131" s="125"/>
      <c r="I131" s="126"/>
      <c r="J131" s="126"/>
      <c r="K131" s="126"/>
      <c r="L131" s="126"/>
      <c r="M131" s="271"/>
    </row>
    <row r="132" spans="1:17" ht="24" x14ac:dyDescent="0.2">
      <c r="A132" s="20"/>
      <c r="B132" s="20"/>
      <c r="C132" s="28" t="s">
        <v>639</v>
      </c>
      <c r="D132" s="23" t="s">
        <v>209</v>
      </c>
      <c r="E132" s="27"/>
      <c r="F132" s="94">
        <f>328702.97/1000</f>
        <v>328.70296999999999</v>
      </c>
      <c r="G132" s="123">
        <v>2265.0540000000001</v>
      </c>
      <c r="H132" s="123">
        <v>3458.6619999999998</v>
      </c>
      <c r="I132" s="123">
        <f>I133+I134+I135+I137+I138+I139+I136</f>
        <v>3461.2859999999996</v>
      </c>
      <c r="J132" s="123">
        <v>0</v>
      </c>
      <c r="K132" s="123">
        <v>0</v>
      </c>
      <c r="L132" s="123">
        <v>0</v>
      </c>
      <c r="M132" s="270"/>
    </row>
    <row r="133" spans="1:17" ht="48" x14ac:dyDescent="0.2">
      <c r="A133" s="23" t="s">
        <v>209</v>
      </c>
      <c r="B133" s="28" t="s">
        <v>437</v>
      </c>
      <c r="C133" s="28" t="s">
        <v>640</v>
      </c>
      <c r="D133" s="23" t="s">
        <v>209</v>
      </c>
      <c r="E133" s="28" t="s">
        <v>775</v>
      </c>
      <c r="F133" s="94">
        <v>0</v>
      </c>
      <c r="G133" s="123">
        <v>112.749</v>
      </c>
      <c r="H133" s="123">
        <v>313.80200000000002</v>
      </c>
      <c r="I133" s="123">
        <v>316.42599999999999</v>
      </c>
      <c r="J133" s="123">
        <v>0</v>
      </c>
      <c r="K133" s="123">
        <v>0</v>
      </c>
      <c r="L133" s="123">
        <v>0</v>
      </c>
      <c r="M133" s="270"/>
    </row>
    <row r="134" spans="1:17" ht="36" x14ac:dyDescent="0.2">
      <c r="A134" s="23" t="s">
        <v>209</v>
      </c>
      <c r="B134" s="28" t="s">
        <v>437</v>
      </c>
      <c r="C134" s="28" t="s">
        <v>641</v>
      </c>
      <c r="D134" s="23" t="s">
        <v>209</v>
      </c>
      <c r="E134" s="28" t="s">
        <v>440</v>
      </c>
      <c r="F134" s="94">
        <f>(2100+26685.77)/1000</f>
        <v>28.785769999999999</v>
      </c>
      <c r="G134" s="123">
        <v>1753.796</v>
      </c>
      <c r="H134" s="123">
        <v>2544.0639999999999</v>
      </c>
      <c r="I134" s="123">
        <v>2544.0639999999999</v>
      </c>
      <c r="J134" s="123">
        <v>0</v>
      </c>
      <c r="K134" s="123">
        <v>0</v>
      </c>
      <c r="L134" s="123">
        <v>0</v>
      </c>
      <c r="M134" s="270"/>
    </row>
    <row r="135" spans="1:17" ht="48" x14ac:dyDescent="0.2">
      <c r="A135" s="23" t="s">
        <v>445</v>
      </c>
      <c r="B135" s="28" t="s">
        <v>437</v>
      </c>
      <c r="C135" s="28" t="s">
        <v>642</v>
      </c>
      <c r="D135" s="23" t="s">
        <v>209</v>
      </c>
      <c r="E135" s="28" t="s">
        <v>443</v>
      </c>
      <c r="F135" s="94">
        <f>299917.2/1000</f>
        <v>299.91720000000004</v>
      </c>
      <c r="G135" s="123">
        <v>284.00900000000001</v>
      </c>
      <c r="H135" s="123">
        <v>403.24900000000002</v>
      </c>
      <c r="I135" s="123">
        <v>403.24900000000002</v>
      </c>
      <c r="J135" s="123">
        <v>0</v>
      </c>
      <c r="K135" s="123">
        <v>0</v>
      </c>
      <c r="L135" s="123">
        <v>0</v>
      </c>
      <c r="M135" s="270"/>
    </row>
    <row r="136" spans="1:17" ht="36" x14ac:dyDescent="0.2">
      <c r="A136" s="23" t="s">
        <v>445</v>
      </c>
      <c r="B136" s="28" t="s">
        <v>437</v>
      </c>
      <c r="C136" s="28" t="s">
        <v>1032</v>
      </c>
      <c r="D136" s="23" t="s">
        <v>209</v>
      </c>
      <c r="E136" s="28" t="s">
        <v>2</v>
      </c>
      <c r="F136" s="94"/>
      <c r="G136" s="123">
        <v>14.167</v>
      </c>
      <c r="H136" s="123">
        <v>23.952000000000002</v>
      </c>
      <c r="I136" s="123">
        <v>23.952000000000002</v>
      </c>
      <c r="J136" s="123">
        <v>0</v>
      </c>
      <c r="K136" s="123">
        <v>0</v>
      </c>
      <c r="L136" s="123">
        <v>0</v>
      </c>
      <c r="M136" s="270"/>
    </row>
    <row r="137" spans="1:17" ht="108" x14ac:dyDescent="0.2">
      <c r="A137" s="23" t="s">
        <v>445</v>
      </c>
      <c r="B137" s="28" t="s">
        <v>437</v>
      </c>
      <c r="C137" s="28" t="s">
        <v>771</v>
      </c>
      <c r="D137" s="23" t="s">
        <v>209</v>
      </c>
      <c r="E137" s="45" t="s">
        <v>774</v>
      </c>
      <c r="F137" s="94"/>
      <c r="G137" s="123">
        <v>37.499000000000002</v>
      </c>
      <c r="H137" s="123">
        <v>173.595</v>
      </c>
      <c r="I137" s="123">
        <v>173.595</v>
      </c>
      <c r="J137" s="123">
        <v>0</v>
      </c>
      <c r="K137" s="123">
        <v>0</v>
      </c>
      <c r="L137" s="123">
        <v>0</v>
      </c>
      <c r="M137" s="270"/>
    </row>
    <row r="138" spans="1:17" ht="84" x14ac:dyDescent="0.2">
      <c r="A138" s="23" t="s">
        <v>445</v>
      </c>
      <c r="B138" s="28" t="s">
        <v>437</v>
      </c>
      <c r="C138" s="28" t="s">
        <v>772</v>
      </c>
      <c r="D138" s="23" t="s">
        <v>209</v>
      </c>
      <c r="E138" s="28" t="s">
        <v>482</v>
      </c>
      <c r="F138" s="94"/>
      <c r="G138" s="123">
        <v>0.86299999999999999</v>
      </c>
      <c r="H138" s="123">
        <v>0</v>
      </c>
      <c r="I138" s="123">
        <v>0</v>
      </c>
      <c r="J138" s="123">
        <v>0</v>
      </c>
      <c r="K138" s="123">
        <v>0</v>
      </c>
      <c r="L138" s="123">
        <v>0</v>
      </c>
      <c r="M138" s="270"/>
    </row>
    <row r="139" spans="1:17" ht="36" x14ac:dyDescent="0.2">
      <c r="A139" s="23" t="s">
        <v>445</v>
      </c>
      <c r="B139" s="28" t="s">
        <v>437</v>
      </c>
      <c r="C139" s="28" t="s">
        <v>773</v>
      </c>
      <c r="D139" s="23" t="s">
        <v>209</v>
      </c>
      <c r="E139" s="28" t="s">
        <v>450</v>
      </c>
      <c r="F139" s="94"/>
      <c r="G139" s="123">
        <v>49.829000000000001</v>
      </c>
      <c r="H139" s="123">
        <v>0</v>
      </c>
      <c r="I139" s="123">
        <v>0</v>
      </c>
      <c r="J139" s="123">
        <v>0</v>
      </c>
      <c r="K139" s="123">
        <v>0</v>
      </c>
      <c r="L139" s="123">
        <v>0</v>
      </c>
      <c r="M139" s="270"/>
    </row>
    <row r="140" spans="1:17" ht="96" x14ac:dyDescent="0.2">
      <c r="A140" s="23" t="s">
        <v>445</v>
      </c>
      <c r="B140" s="28" t="s">
        <v>437</v>
      </c>
      <c r="C140" s="28" t="s">
        <v>1033</v>
      </c>
      <c r="D140" s="23" t="s">
        <v>209</v>
      </c>
      <c r="E140" s="28" t="s">
        <v>460</v>
      </c>
      <c r="F140" s="94"/>
      <c r="G140" s="123">
        <v>12.143000000000001</v>
      </c>
      <c r="H140" s="123">
        <v>0</v>
      </c>
      <c r="I140" s="123">
        <v>0</v>
      </c>
      <c r="J140" s="123">
        <v>0</v>
      </c>
      <c r="K140" s="123">
        <v>0</v>
      </c>
      <c r="L140" s="123">
        <v>0</v>
      </c>
      <c r="M140" s="270"/>
    </row>
    <row r="141" spans="1:17" ht="132" x14ac:dyDescent="0.2">
      <c r="A141" s="21" t="s">
        <v>469</v>
      </c>
      <c r="B141" s="28"/>
      <c r="C141" s="28"/>
      <c r="D141" s="23"/>
      <c r="E141" s="28"/>
      <c r="F141" s="94"/>
      <c r="G141" s="124"/>
      <c r="H141" s="124"/>
      <c r="I141" s="126"/>
      <c r="J141" s="126"/>
      <c r="K141" s="126"/>
      <c r="L141" s="126"/>
      <c r="M141" s="271"/>
    </row>
    <row r="142" spans="1:17" ht="108" x14ac:dyDescent="0.2">
      <c r="A142" s="23"/>
      <c r="B142" s="28"/>
      <c r="C142" s="28" t="s">
        <v>643</v>
      </c>
      <c r="D142" s="22" t="s">
        <v>470</v>
      </c>
      <c r="E142" s="28"/>
      <c r="F142" s="94">
        <v>0</v>
      </c>
      <c r="G142" s="123">
        <f>G143</f>
        <v>129.5</v>
      </c>
      <c r="H142" s="123">
        <f>H143</f>
        <v>72.007000000000005</v>
      </c>
      <c r="I142" s="123">
        <f t="shared" ref="I142:L142" si="40">I143</f>
        <v>72</v>
      </c>
      <c r="J142" s="123">
        <f t="shared" si="40"/>
        <v>0</v>
      </c>
      <c r="K142" s="123">
        <f t="shared" si="40"/>
        <v>0</v>
      </c>
      <c r="L142" s="123">
        <f t="shared" si="40"/>
        <v>0</v>
      </c>
      <c r="M142" s="270"/>
      <c r="N142" s="241">
        <f>I142+I145+I147+I151+I156</f>
        <v>5412.6</v>
      </c>
      <c r="O142" s="241">
        <f t="shared" ref="O142:Q142" si="41">J142+J145+J147+J151+J156</f>
        <v>802.2</v>
      </c>
      <c r="P142" s="241">
        <f t="shared" si="41"/>
        <v>804</v>
      </c>
      <c r="Q142" s="241">
        <f t="shared" si="41"/>
        <v>804</v>
      </c>
    </row>
    <row r="143" spans="1:17" ht="108" x14ac:dyDescent="0.2">
      <c r="A143" s="22" t="s">
        <v>470</v>
      </c>
      <c r="B143" s="28" t="s">
        <v>437</v>
      </c>
      <c r="C143" s="28" t="s">
        <v>644</v>
      </c>
      <c r="D143" s="22" t="s">
        <v>470</v>
      </c>
      <c r="E143" s="45" t="s">
        <v>774</v>
      </c>
      <c r="F143" s="94">
        <v>0</v>
      </c>
      <c r="G143" s="123">
        <v>129.5</v>
      </c>
      <c r="H143" s="123">
        <v>72.007000000000005</v>
      </c>
      <c r="I143" s="123">
        <v>72</v>
      </c>
      <c r="J143" s="123">
        <v>0</v>
      </c>
      <c r="K143" s="123">
        <v>0</v>
      </c>
      <c r="L143" s="123">
        <v>0</v>
      </c>
      <c r="M143" s="270"/>
    </row>
    <row r="144" spans="1:17" ht="48" x14ac:dyDescent="0.2">
      <c r="A144" s="20" t="s">
        <v>218</v>
      </c>
      <c r="B144" s="20"/>
      <c r="C144" s="27"/>
      <c r="D144" s="27"/>
      <c r="E144" s="27"/>
      <c r="F144" s="96"/>
      <c r="G144" s="125"/>
      <c r="H144" s="125"/>
      <c r="I144" s="126"/>
      <c r="J144" s="126"/>
      <c r="K144" s="126"/>
      <c r="L144" s="126"/>
      <c r="M144" s="271"/>
    </row>
    <row r="145" spans="1:16" ht="72" x14ac:dyDescent="0.2">
      <c r="A145" s="23"/>
      <c r="B145" s="23"/>
      <c r="C145" s="28" t="s">
        <v>645</v>
      </c>
      <c r="D145" s="23" t="s">
        <v>731</v>
      </c>
      <c r="E145" s="27"/>
      <c r="F145" s="94">
        <v>0</v>
      </c>
      <c r="G145" s="123">
        <f>G146</f>
        <v>313.40699999999998</v>
      </c>
      <c r="H145" s="123">
        <f>H146</f>
        <v>917.34699999999998</v>
      </c>
      <c r="I145" s="123">
        <f t="shared" ref="I145:L145" si="42">I146</f>
        <v>920</v>
      </c>
      <c r="J145" s="123">
        <f t="shared" si="42"/>
        <v>300</v>
      </c>
      <c r="K145" s="123">
        <f t="shared" si="42"/>
        <v>300</v>
      </c>
      <c r="L145" s="123">
        <f t="shared" si="42"/>
        <v>300</v>
      </c>
      <c r="M145" s="274">
        <f>I145+I147+I151</f>
        <v>5327.5</v>
      </c>
      <c r="N145" s="274">
        <f t="shared" ref="N145:O145" si="43">J145+J147+J151</f>
        <v>802.2</v>
      </c>
      <c r="O145" s="274">
        <f t="shared" si="43"/>
        <v>804</v>
      </c>
      <c r="P145" s="274">
        <f>L145+L147+L151</f>
        <v>804</v>
      </c>
    </row>
    <row r="146" spans="1:16" ht="108" x14ac:dyDescent="0.2">
      <c r="A146" s="23" t="s">
        <v>731</v>
      </c>
      <c r="B146" s="28" t="s">
        <v>437</v>
      </c>
      <c r="C146" s="28" t="s">
        <v>646</v>
      </c>
      <c r="D146" s="23" t="s">
        <v>731</v>
      </c>
      <c r="E146" s="45" t="s">
        <v>774</v>
      </c>
      <c r="F146" s="94">
        <v>0</v>
      </c>
      <c r="G146" s="123">
        <v>313.40699999999998</v>
      </c>
      <c r="H146" s="123">
        <v>917.34699999999998</v>
      </c>
      <c r="I146" s="123">
        <v>920</v>
      </c>
      <c r="J146" s="123">
        <v>300</v>
      </c>
      <c r="K146" s="123">
        <v>300</v>
      </c>
      <c r="L146" s="123">
        <v>300</v>
      </c>
      <c r="M146" s="270"/>
    </row>
    <row r="147" spans="1:16" ht="60" x14ac:dyDescent="0.2">
      <c r="A147" s="20"/>
      <c r="B147" s="27"/>
      <c r="C147" s="28" t="s">
        <v>647</v>
      </c>
      <c r="D147" s="23" t="s">
        <v>220</v>
      </c>
      <c r="E147" s="27"/>
      <c r="F147" s="94">
        <f>2488562/1000</f>
        <v>2488.5619999999999</v>
      </c>
      <c r="G147" s="123">
        <v>1608.837</v>
      </c>
      <c r="H147" s="123">
        <v>3822.3110000000001</v>
      </c>
      <c r="I147" s="123">
        <f>I148+I149</f>
        <v>4041.5</v>
      </c>
      <c r="J147" s="123">
        <f t="shared" ref="J147:L147" si="44">J148+J149</f>
        <v>502.2</v>
      </c>
      <c r="K147" s="123">
        <f t="shared" si="44"/>
        <v>504</v>
      </c>
      <c r="L147" s="123">
        <f t="shared" si="44"/>
        <v>504</v>
      </c>
      <c r="M147" s="270"/>
    </row>
    <row r="148" spans="1:16" ht="60" x14ac:dyDescent="0.2">
      <c r="A148" s="23" t="s">
        <v>220</v>
      </c>
      <c r="B148" s="28" t="s">
        <v>438</v>
      </c>
      <c r="C148" s="28" t="s">
        <v>648</v>
      </c>
      <c r="D148" s="23" t="s">
        <v>220</v>
      </c>
      <c r="E148" s="41" t="s">
        <v>441</v>
      </c>
      <c r="F148" s="94">
        <f>436511.52/1000</f>
        <v>436.51152000000002</v>
      </c>
      <c r="G148" s="123">
        <v>1188.403</v>
      </c>
      <c r="H148" s="123">
        <v>2601.6840000000002</v>
      </c>
      <c r="I148" s="123">
        <v>2626.5</v>
      </c>
      <c r="J148" s="123">
        <v>302.2</v>
      </c>
      <c r="K148" s="123">
        <v>304</v>
      </c>
      <c r="L148" s="123">
        <v>304</v>
      </c>
      <c r="M148" s="270"/>
    </row>
    <row r="149" spans="1:16" ht="60" x14ac:dyDescent="0.2">
      <c r="A149" s="23" t="s">
        <v>220</v>
      </c>
      <c r="B149" s="28" t="s">
        <v>438</v>
      </c>
      <c r="C149" s="28" t="s">
        <v>649</v>
      </c>
      <c r="D149" s="23" t="s">
        <v>220</v>
      </c>
      <c r="E149" s="41" t="s">
        <v>441</v>
      </c>
      <c r="F149" s="94">
        <f>1708737.01/1000</f>
        <v>1708.7370100000001</v>
      </c>
      <c r="G149" s="123">
        <v>420.435</v>
      </c>
      <c r="H149" s="123">
        <v>1220.627</v>
      </c>
      <c r="I149" s="123">
        <v>1415</v>
      </c>
      <c r="J149" s="123">
        <v>200</v>
      </c>
      <c r="K149" s="123">
        <v>200</v>
      </c>
      <c r="L149" s="123">
        <v>200</v>
      </c>
      <c r="M149" s="270"/>
    </row>
    <row r="150" spans="1:16" ht="72" x14ac:dyDescent="0.2">
      <c r="A150" s="20" t="s">
        <v>918</v>
      </c>
      <c r="B150" s="28"/>
      <c r="C150" s="28"/>
      <c r="D150" s="23"/>
      <c r="E150" s="41"/>
      <c r="F150" s="94"/>
      <c r="G150" s="123"/>
      <c r="H150" s="123"/>
      <c r="I150" s="124"/>
      <c r="J150" s="124"/>
      <c r="K150" s="124"/>
      <c r="L150" s="124"/>
      <c r="M150" s="270"/>
    </row>
    <row r="151" spans="1:16" ht="72" x14ac:dyDescent="0.2">
      <c r="A151" s="23"/>
      <c r="B151" s="28"/>
      <c r="C151" s="28" t="s">
        <v>1046</v>
      </c>
      <c r="D151" s="23" t="s">
        <v>920</v>
      </c>
      <c r="E151" s="41"/>
      <c r="F151" s="94"/>
      <c r="G151" s="123">
        <f>G152</f>
        <v>0</v>
      </c>
      <c r="H151" s="123">
        <f t="shared" ref="H151:L151" si="45">H152</f>
        <v>365.98099999999999</v>
      </c>
      <c r="I151" s="123">
        <f t="shared" si="45"/>
        <v>366</v>
      </c>
      <c r="J151" s="123">
        <f t="shared" si="45"/>
        <v>0</v>
      </c>
      <c r="K151" s="123">
        <f t="shared" si="45"/>
        <v>0</v>
      </c>
      <c r="L151" s="123">
        <f t="shared" si="45"/>
        <v>0</v>
      </c>
      <c r="M151" s="270"/>
    </row>
    <row r="152" spans="1:16" ht="108" x14ac:dyDescent="0.2">
      <c r="A152" s="23" t="s">
        <v>920</v>
      </c>
      <c r="B152" s="28" t="s">
        <v>437</v>
      </c>
      <c r="C152" s="28" t="s">
        <v>1045</v>
      </c>
      <c r="D152" s="23" t="s">
        <v>920</v>
      </c>
      <c r="E152" s="45" t="s">
        <v>774</v>
      </c>
      <c r="F152" s="94"/>
      <c r="G152" s="123">
        <v>0</v>
      </c>
      <c r="H152" s="123">
        <v>365.98099999999999</v>
      </c>
      <c r="I152" s="123">
        <v>366</v>
      </c>
      <c r="J152" s="123">
        <v>0</v>
      </c>
      <c r="K152" s="123">
        <v>0</v>
      </c>
      <c r="L152" s="123">
        <v>0</v>
      </c>
      <c r="M152" s="270"/>
    </row>
    <row r="153" spans="1:16" ht="96" x14ac:dyDescent="0.2">
      <c r="A153" s="20" t="s">
        <v>562</v>
      </c>
      <c r="B153" s="28"/>
      <c r="C153" s="28"/>
      <c r="D153" s="23"/>
      <c r="E153" s="41"/>
      <c r="F153" s="94"/>
      <c r="G153" s="124"/>
      <c r="H153" s="124"/>
      <c r="I153" s="124"/>
      <c r="J153" s="124"/>
      <c r="K153" s="124"/>
      <c r="L153" s="124"/>
      <c r="M153" s="270"/>
    </row>
    <row r="154" spans="1:16" ht="132" x14ac:dyDescent="0.2">
      <c r="A154" s="20"/>
      <c r="B154" s="28"/>
      <c r="C154" s="28" t="s">
        <v>1099</v>
      </c>
      <c r="D154" s="119" t="s">
        <v>1077</v>
      </c>
      <c r="E154" s="41"/>
      <c r="F154" s="94"/>
      <c r="G154" s="123">
        <f>G155</f>
        <v>0</v>
      </c>
      <c r="H154" s="123">
        <f t="shared" ref="H154:L154" si="46">H155</f>
        <v>0</v>
      </c>
      <c r="I154" s="123">
        <f t="shared" si="46"/>
        <v>0.9</v>
      </c>
      <c r="J154" s="123">
        <f t="shared" si="46"/>
        <v>0</v>
      </c>
      <c r="K154" s="123">
        <f t="shared" si="46"/>
        <v>0</v>
      </c>
      <c r="L154" s="123">
        <f t="shared" si="46"/>
        <v>0</v>
      </c>
      <c r="M154" s="270"/>
    </row>
    <row r="155" spans="1:16" ht="132" x14ac:dyDescent="0.2">
      <c r="A155" s="23" t="s">
        <v>1077</v>
      </c>
      <c r="B155" s="28"/>
      <c r="C155" s="28" t="s">
        <v>1100</v>
      </c>
      <c r="D155" s="119" t="s">
        <v>1077</v>
      </c>
      <c r="E155" s="41" t="s">
        <v>774</v>
      </c>
      <c r="F155" s="94"/>
      <c r="G155" s="123">
        <v>0</v>
      </c>
      <c r="H155" s="123">
        <v>0</v>
      </c>
      <c r="I155" s="123">
        <v>0.9</v>
      </c>
      <c r="J155" s="123">
        <f t="shared" ref="I155:L156" si="47">J156</f>
        <v>0</v>
      </c>
      <c r="K155" s="123">
        <f t="shared" si="47"/>
        <v>0</v>
      </c>
      <c r="L155" s="123">
        <f t="shared" si="47"/>
        <v>0</v>
      </c>
      <c r="M155" s="270"/>
    </row>
    <row r="156" spans="1:16" ht="108" x14ac:dyDescent="0.2">
      <c r="A156" s="20"/>
      <c r="B156" s="28"/>
      <c r="C156" s="28" t="s">
        <v>1034</v>
      </c>
      <c r="D156" s="119" t="s">
        <v>564</v>
      </c>
      <c r="E156" s="41"/>
      <c r="F156" s="94"/>
      <c r="G156" s="123">
        <f>G157</f>
        <v>19.422999999999998</v>
      </c>
      <c r="H156" s="123">
        <f>H157</f>
        <v>13.095000000000001</v>
      </c>
      <c r="I156" s="123">
        <f t="shared" si="47"/>
        <v>13.1</v>
      </c>
      <c r="J156" s="123">
        <f t="shared" si="47"/>
        <v>0</v>
      </c>
      <c r="K156" s="123">
        <f t="shared" si="47"/>
        <v>0</v>
      </c>
      <c r="L156" s="123">
        <f t="shared" si="47"/>
        <v>0</v>
      </c>
      <c r="M156" s="270"/>
    </row>
    <row r="157" spans="1:16" ht="108" x14ac:dyDescent="0.2">
      <c r="A157" s="119" t="s">
        <v>564</v>
      </c>
      <c r="B157" s="28" t="s">
        <v>438</v>
      </c>
      <c r="C157" s="28" t="s">
        <v>776</v>
      </c>
      <c r="D157" s="119" t="s">
        <v>564</v>
      </c>
      <c r="E157" s="41" t="s">
        <v>441</v>
      </c>
      <c r="F157" s="94"/>
      <c r="G157" s="123">
        <v>19.422999999999998</v>
      </c>
      <c r="H157" s="123">
        <v>13.095000000000001</v>
      </c>
      <c r="I157" s="123">
        <v>13.1</v>
      </c>
      <c r="J157" s="123">
        <v>0</v>
      </c>
      <c r="K157" s="123">
        <v>0</v>
      </c>
      <c r="L157" s="123">
        <v>0</v>
      </c>
      <c r="M157" s="270"/>
    </row>
    <row r="158" spans="1:16" ht="75" customHeight="1" x14ac:dyDescent="0.2">
      <c r="A158" s="34" t="s">
        <v>1086</v>
      </c>
      <c r="B158" s="34"/>
      <c r="C158" s="37"/>
      <c r="D158" s="37"/>
      <c r="E158" s="27"/>
      <c r="F158" s="96"/>
      <c r="G158" s="125"/>
      <c r="H158" s="125"/>
      <c r="I158" s="126"/>
      <c r="J158" s="126"/>
      <c r="K158" s="126"/>
      <c r="L158" s="126"/>
      <c r="M158" s="271"/>
    </row>
    <row r="159" spans="1:16" ht="111" customHeight="1" x14ac:dyDescent="0.2">
      <c r="A159" s="34"/>
      <c r="B159" s="34"/>
      <c r="C159" s="45" t="s">
        <v>1101</v>
      </c>
      <c r="D159" s="51" t="s">
        <v>1102</v>
      </c>
      <c r="E159" s="27"/>
      <c r="F159" s="96"/>
      <c r="G159" s="123">
        <f t="shared" ref="G159:I159" si="48">G160</f>
        <v>0</v>
      </c>
      <c r="H159" s="123">
        <f t="shared" si="48"/>
        <v>0</v>
      </c>
      <c r="I159" s="123">
        <f t="shared" si="48"/>
        <v>0</v>
      </c>
      <c r="J159" s="123">
        <f>J160</f>
        <v>71</v>
      </c>
      <c r="K159" s="123">
        <f t="shared" ref="K159:L159" si="49">K160</f>
        <v>69</v>
      </c>
      <c r="L159" s="123">
        <f t="shared" si="49"/>
        <v>75.5</v>
      </c>
      <c r="M159" s="271"/>
    </row>
    <row r="160" spans="1:16" ht="108" customHeight="1" x14ac:dyDescent="0.2">
      <c r="A160" s="51" t="s">
        <v>1102</v>
      </c>
      <c r="B160" s="45" t="s">
        <v>438</v>
      </c>
      <c r="C160" s="45" t="s">
        <v>1110</v>
      </c>
      <c r="D160" s="51" t="s">
        <v>1102</v>
      </c>
      <c r="E160" s="28" t="s">
        <v>1108</v>
      </c>
      <c r="F160" s="96"/>
      <c r="G160" s="123">
        <v>0</v>
      </c>
      <c r="H160" s="123">
        <v>0</v>
      </c>
      <c r="I160" s="123">
        <v>0</v>
      </c>
      <c r="J160" s="123">
        <v>71</v>
      </c>
      <c r="K160" s="123">
        <v>69</v>
      </c>
      <c r="L160" s="123">
        <v>75.5</v>
      </c>
      <c r="M160" s="271"/>
    </row>
    <row r="161" spans="1:17" ht="121.5" customHeight="1" x14ac:dyDescent="0.2">
      <c r="A161" s="34" t="s">
        <v>1087</v>
      </c>
      <c r="B161" s="20"/>
      <c r="C161" s="27"/>
      <c r="D161" s="27"/>
      <c r="E161" s="27"/>
      <c r="F161" s="96"/>
      <c r="G161" s="125"/>
      <c r="H161" s="125"/>
      <c r="I161" s="126"/>
      <c r="J161" s="123"/>
      <c r="K161" s="123"/>
      <c r="L161" s="123"/>
      <c r="M161" s="271"/>
    </row>
    <row r="162" spans="1:17" ht="145.5" customHeight="1" x14ac:dyDescent="0.2">
      <c r="A162" s="34"/>
      <c r="B162" s="34"/>
      <c r="C162" s="45" t="s">
        <v>1103</v>
      </c>
      <c r="D162" s="51" t="s">
        <v>1104</v>
      </c>
      <c r="E162" s="27"/>
      <c r="F162" s="96"/>
      <c r="G162" s="123">
        <f>G163</f>
        <v>0</v>
      </c>
      <c r="H162" s="123">
        <f t="shared" ref="H162:I162" si="50">H163</f>
        <v>0</v>
      </c>
      <c r="I162" s="123">
        <f t="shared" si="50"/>
        <v>0</v>
      </c>
      <c r="J162" s="123">
        <f>J163</f>
        <v>17.5</v>
      </c>
      <c r="K162" s="123">
        <f t="shared" ref="K162:L162" si="51">K163</f>
        <v>18.5</v>
      </c>
      <c r="L162" s="123">
        <f t="shared" si="51"/>
        <v>15.5</v>
      </c>
      <c r="M162" s="271"/>
    </row>
    <row r="163" spans="1:17" ht="137.25" customHeight="1" x14ac:dyDescent="0.2">
      <c r="A163" s="51" t="s">
        <v>1104</v>
      </c>
      <c r="B163" s="45" t="s">
        <v>438</v>
      </c>
      <c r="C163" s="45" t="s">
        <v>1109</v>
      </c>
      <c r="D163" s="51" t="s">
        <v>1104</v>
      </c>
      <c r="E163" s="28" t="s">
        <v>1108</v>
      </c>
      <c r="F163" s="96"/>
      <c r="G163" s="123">
        <v>0</v>
      </c>
      <c r="H163" s="123">
        <v>0</v>
      </c>
      <c r="I163" s="123">
        <v>0</v>
      </c>
      <c r="J163" s="123">
        <v>17.5</v>
      </c>
      <c r="K163" s="123">
        <v>18.5</v>
      </c>
      <c r="L163" s="123">
        <v>15.5</v>
      </c>
      <c r="M163" s="271"/>
    </row>
    <row r="164" spans="1:17" ht="90.75" customHeight="1" x14ac:dyDescent="0.2">
      <c r="A164" s="34" t="s">
        <v>1088</v>
      </c>
      <c r="B164" s="20"/>
      <c r="C164" s="27"/>
      <c r="D164" s="27"/>
      <c r="E164" s="27"/>
      <c r="F164" s="96"/>
      <c r="G164" s="125"/>
      <c r="H164" s="125"/>
      <c r="I164" s="126"/>
      <c r="J164" s="123"/>
      <c r="K164" s="123"/>
      <c r="L164" s="123"/>
      <c r="M164" s="271"/>
    </row>
    <row r="165" spans="1:17" ht="114.75" customHeight="1" x14ac:dyDescent="0.2">
      <c r="A165" s="34"/>
      <c r="B165" s="34"/>
      <c r="C165" s="45" t="s">
        <v>1105</v>
      </c>
      <c r="D165" s="51" t="s">
        <v>1106</v>
      </c>
      <c r="E165" s="27"/>
      <c r="F165" s="96"/>
      <c r="G165" s="123">
        <f>G166</f>
        <v>0</v>
      </c>
      <c r="H165" s="123">
        <f t="shared" ref="H165:I165" si="52">H166</f>
        <v>0</v>
      </c>
      <c r="I165" s="123">
        <f t="shared" si="52"/>
        <v>0</v>
      </c>
      <c r="J165" s="123">
        <f>J166</f>
        <v>24</v>
      </c>
      <c r="K165" s="123">
        <f t="shared" ref="K165:L165" si="53">K166</f>
        <v>26.5</v>
      </c>
      <c r="L165" s="123">
        <f t="shared" si="53"/>
        <v>23.5</v>
      </c>
      <c r="M165" s="271"/>
    </row>
    <row r="166" spans="1:17" ht="117.75" customHeight="1" x14ac:dyDescent="0.2">
      <c r="A166" s="51" t="s">
        <v>1106</v>
      </c>
      <c r="B166" s="45" t="s">
        <v>438</v>
      </c>
      <c r="C166" s="45" t="s">
        <v>1107</v>
      </c>
      <c r="D166" s="51" t="s">
        <v>1106</v>
      </c>
      <c r="E166" s="28" t="s">
        <v>1108</v>
      </c>
      <c r="F166" s="96"/>
      <c r="G166" s="123">
        <v>0</v>
      </c>
      <c r="H166" s="123">
        <v>0</v>
      </c>
      <c r="I166" s="123">
        <v>0</v>
      </c>
      <c r="J166" s="123">
        <v>24</v>
      </c>
      <c r="K166" s="123">
        <v>26.5</v>
      </c>
      <c r="L166" s="123">
        <v>23.5</v>
      </c>
      <c r="M166" s="271"/>
    </row>
    <row r="167" spans="1:17" ht="36" customHeight="1" x14ac:dyDescent="0.2">
      <c r="A167" s="20" t="s">
        <v>226</v>
      </c>
      <c r="B167" s="20"/>
      <c r="C167" s="27"/>
      <c r="D167" s="27"/>
      <c r="E167" s="27"/>
      <c r="F167" s="96"/>
      <c r="G167" s="125"/>
      <c r="H167" s="125"/>
      <c r="I167" s="126"/>
      <c r="J167" s="126"/>
      <c r="K167" s="126"/>
      <c r="L167" s="126"/>
      <c r="M167" s="271"/>
    </row>
    <row r="168" spans="1:17" ht="84" x14ac:dyDescent="0.2">
      <c r="A168" s="21"/>
      <c r="B168" s="21"/>
      <c r="C168" s="28" t="s">
        <v>650</v>
      </c>
      <c r="D168" s="22" t="s">
        <v>228</v>
      </c>
      <c r="E168" s="27"/>
      <c r="F168" s="94">
        <f>378500.56/1000</f>
        <v>378.50056000000001</v>
      </c>
      <c r="G168" s="123">
        <f>G169</f>
        <v>249.446</v>
      </c>
      <c r="H168" s="123">
        <f>H169</f>
        <v>134.00899999999999</v>
      </c>
      <c r="I168" s="123">
        <f t="shared" ref="I168:L168" si="54">I169</f>
        <v>240</v>
      </c>
      <c r="J168" s="123">
        <f t="shared" si="54"/>
        <v>0</v>
      </c>
      <c r="K168" s="123">
        <f t="shared" si="54"/>
        <v>0</v>
      </c>
      <c r="L168" s="123">
        <f t="shared" si="54"/>
        <v>0</v>
      </c>
      <c r="M168" s="270"/>
      <c r="N168" s="241">
        <f>I168+I170+I173+I176+I179+I182+I185+I188+I191+I194+I199+I202+I205+I209+I213+I220+I165+I162+I159</f>
        <v>8403</v>
      </c>
      <c r="O168" s="241">
        <f t="shared" ref="O168:Q168" si="55">J168+J170+J173+J176+J179+J182+J185+J188+J191+J194+J199+J202+J205+J209+J213+J220+J165+J162+J159</f>
        <v>112.5</v>
      </c>
      <c r="P168" s="241">
        <f t="shared" si="55"/>
        <v>114</v>
      </c>
      <c r="Q168" s="241">
        <f t="shared" si="55"/>
        <v>114.5</v>
      </c>
    </row>
    <row r="169" spans="1:17" ht="84" x14ac:dyDescent="0.2">
      <c r="A169" s="22" t="s">
        <v>228</v>
      </c>
      <c r="B169" s="30">
        <v>50</v>
      </c>
      <c r="C169" s="28" t="s">
        <v>651</v>
      </c>
      <c r="D169" s="22" t="s">
        <v>228</v>
      </c>
      <c r="E169" s="28" t="s">
        <v>402</v>
      </c>
      <c r="F169" s="94">
        <f>378500.56/1000</f>
        <v>378.50056000000001</v>
      </c>
      <c r="G169" s="123">
        <v>249.446</v>
      </c>
      <c r="H169" s="123">
        <v>134.00899999999999</v>
      </c>
      <c r="I169" s="123">
        <v>240</v>
      </c>
      <c r="J169" s="123">
        <v>0</v>
      </c>
      <c r="K169" s="123">
        <v>0</v>
      </c>
      <c r="L169" s="123">
        <v>0</v>
      </c>
      <c r="M169" s="270"/>
    </row>
    <row r="170" spans="1:17" ht="72" x14ac:dyDescent="0.2">
      <c r="A170" s="20"/>
      <c r="B170" s="20"/>
      <c r="C170" s="28" t="s">
        <v>652</v>
      </c>
      <c r="D170" s="23" t="s">
        <v>233</v>
      </c>
      <c r="E170" s="27"/>
      <c r="F170" s="94">
        <f>2245.71/1000</f>
        <v>2.2457099999999999</v>
      </c>
      <c r="G170" s="123">
        <f>G171</f>
        <v>12.590999999999999</v>
      </c>
      <c r="H170" s="123">
        <f>H171</f>
        <v>24.986000000000001</v>
      </c>
      <c r="I170" s="123">
        <f t="shared" ref="I170:L170" si="56">I171</f>
        <v>30</v>
      </c>
      <c r="J170" s="123">
        <f t="shared" si="56"/>
        <v>0</v>
      </c>
      <c r="K170" s="123">
        <f t="shared" si="56"/>
        <v>0</v>
      </c>
      <c r="L170" s="123">
        <f t="shared" si="56"/>
        <v>0</v>
      </c>
      <c r="M170" s="270"/>
    </row>
    <row r="171" spans="1:17" ht="120" x14ac:dyDescent="0.2">
      <c r="A171" s="22" t="s">
        <v>236</v>
      </c>
      <c r="B171" s="30">
        <v>50</v>
      </c>
      <c r="C171" s="41" t="s">
        <v>653</v>
      </c>
      <c r="D171" s="46" t="s">
        <v>233</v>
      </c>
      <c r="E171" s="28" t="s">
        <v>402</v>
      </c>
      <c r="F171" s="94">
        <f>2245.71/1000</f>
        <v>2.2457099999999999</v>
      </c>
      <c r="G171" s="123">
        <v>12.590999999999999</v>
      </c>
      <c r="H171" s="123">
        <v>24.986000000000001</v>
      </c>
      <c r="I171" s="123">
        <v>30</v>
      </c>
      <c r="J171" s="123">
        <v>0</v>
      </c>
      <c r="K171" s="123">
        <v>0</v>
      </c>
      <c r="L171" s="123">
        <v>0</v>
      </c>
      <c r="M171" s="270"/>
    </row>
    <row r="172" spans="1:17" ht="72" x14ac:dyDescent="0.2">
      <c r="A172" s="20" t="s">
        <v>239</v>
      </c>
      <c r="B172" s="20"/>
      <c r="C172" s="27"/>
      <c r="D172" s="27"/>
      <c r="E172" s="27"/>
      <c r="F172" s="96"/>
      <c r="G172" s="125"/>
      <c r="H172" s="125"/>
      <c r="I172" s="126"/>
      <c r="J172" s="126"/>
      <c r="K172" s="126"/>
      <c r="L172" s="126"/>
      <c r="M172" s="271"/>
    </row>
    <row r="173" spans="1:17" ht="72" x14ac:dyDescent="0.2">
      <c r="A173" s="23"/>
      <c r="B173" s="23"/>
      <c r="C173" s="41" t="s">
        <v>654</v>
      </c>
      <c r="D173" s="46" t="s">
        <v>239</v>
      </c>
      <c r="E173" s="41"/>
      <c r="F173" s="94">
        <f>149200/1000</f>
        <v>149.19999999999999</v>
      </c>
      <c r="G173" s="123">
        <f>G174</f>
        <v>2.2999999999999998</v>
      </c>
      <c r="H173" s="123">
        <f>H174</f>
        <v>1.5</v>
      </c>
      <c r="I173" s="123">
        <f t="shared" ref="I173:L173" si="57">I174</f>
        <v>1.5</v>
      </c>
      <c r="J173" s="123">
        <f t="shared" si="57"/>
        <v>0</v>
      </c>
      <c r="K173" s="123">
        <f t="shared" si="57"/>
        <v>0</v>
      </c>
      <c r="L173" s="123">
        <f t="shared" si="57"/>
        <v>0</v>
      </c>
      <c r="M173" s="270"/>
    </row>
    <row r="174" spans="1:17" ht="120" x14ac:dyDescent="0.2">
      <c r="A174" s="22" t="s">
        <v>242</v>
      </c>
      <c r="B174" s="30">
        <v>100</v>
      </c>
      <c r="C174" s="41" t="s">
        <v>655</v>
      </c>
      <c r="D174" s="46" t="s">
        <v>239</v>
      </c>
      <c r="E174" s="28" t="s">
        <v>402</v>
      </c>
      <c r="F174" s="94">
        <f>149200/1000</f>
        <v>149.19999999999999</v>
      </c>
      <c r="G174" s="123">
        <v>2.2999999999999998</v>
      </c>
      <c r="H174" s="123">
        <v>1.5</v>
      </c>
      <c r="I174" s="123">
        <v>1.5</v>
      </c>
      <c r="J174" s="123">
        <v>0</v>
      </c>
      <c r="K174" s="123">
        <v>0</v>
      </c>
      <c r="L174" s="123">
        <v>0</v>
      </c>
      <c r="M174" s="270"/>
    </row>
    <row r="175" spans="1:17" ht="72" x14ac:dyDescent="0.2">
      <c r="A175" s="21" t="s">
        <v>247</v>
      </c>
      <c r="B175" s="20"/>
      <c r="C175" s="27"/>
      <c r="D175" s="27"/>
      <c r="E175" s="27"/>
      <c r="F175" s="96"/>
      <c r="G175" s="125"/>
      <c r="H175" s="125"/>
      <c r="I175" s="126"/>
      <c r="J175" s="126"/>
      <c r="K175" s="126"/>
      <c r="L175" s="126"/>
      <c r="M175" s="271"/>
    </row>
    <row r="176" spans="1:17" ht="72" x14ac:dyDescent="0.2">
      <c r="A176" s="20"/>
      <c r="B176" s="20"/>
      <c r="C176" s="28" t="s">
        <v>656</v>
      </c>
      <c r="D176" s="22" t="s">
        <v>247</v>
      </c>
      <c r="E176" s="27"/>
      <c r="F176" s="94">
        <f>262002/1000</f>
        <v>262.00200000000001</v>
      </c>
      <c r="G176" s="123">
        <f>G177</f>
        <v>253</v>
      </c>
      <c r="H176" s="123">
        <f>H177</f>
        <v>18</v>
      </c>
      <c r="I176" s="123">
        <f t="shared" ref="I176:L176" si="58">I177</f>
        <v>24</v>
      </c>
      <c r="J176" s="123">
        <f t="shared" si="58"/>
        <v>0</v>
      </c>
      <c r="K176" s="123">
        <f t="shared" si="58"/>
        <v>0</v>
      </c>
      <c r="L176" s="123">
        <f t="shared" si="58"/>
        <v>0</v>
      </c>
      <c r="M176" s="270"/>
    </row>
    <row r="177" spans="1:13" ht="72" x14ac:dyDescent="0.2">
      <c r="A177" s="22" t="s">
        <v>247</v>
      </c>
      <c r="B177" s="30">
        <v>100</v>
      </c>
      <c r="C177" s="41" t="s">
        <v>657</v>
      </c>
      <c r="D177" s="22" t="s">
        <v>247</v>
      </c>
      <c r="E177" s="28" t="s">
        <v>449</v>
      </c>
      <c r="F177" s="94">
        <f>247002/1000</f>
        <v>247.00200000000001</v>
      </c>
      <c r="G177" s="123">
        <v>253</v>
      </c>
      <c r="H177" s="123">
        <v>18</v>
      </c>
      <c r="I177" s="123">
        <v>24</v>
      </c>
      <c r="J177" s="123">
        <v>0</v>
      </c>
      <c r="K177" s="123">
        <v>0</v>
      </c>
      <c r="L177" s="123">
        <v>0</v>
      </c>
      <c r="M177" s="270"/>
    </row>
    <row r="178" spans="1:13" ht="60" x14ac:dyDescent="0.2">
      <c r="A178" s="21" t="s">
        <v>252</v>
      </c>
      <c r="B178" s="30"/>
      <c r="C178" s="41"/>
      <c r="D178" s="46"/>
      <c r="E178" s="28"/>
      <c r="F178" s="94"/>
      <c r="G178" s="124"/>
      <c r="H178" s="124"/>
      <c r="I178" s="124"/>
      <c r="J178" s="124"/>
      <c r="K178" s="124"/>
      <c r="L178" s="124"/>
      <c r="M178" s="270"/>
    </row>
    <row r="179" spans="1:13" ht="60" x14ac:dyDescent="0.2">
      <c r="A179" s="22"/>
      <c r="B179" s="30"/>
      <c r="C179" s="41" t="s">
        <v>791</v>
      </c>
      <c r="D179" s="22" t="s">
        <v>792</v>
      </c>
      <c r="E179" s="28"/>
      <c r="F179" s="94"/>
      <c r="G179" s="123">
        <f>G180</f>
        <v>32</v>
      </c>
      <c r="H179" s="123">
        <f>H180</f>
        <v>14</v>
      </c>
      <c r="I179" s="123">
        <f t="shared" ref="I179:L179" si="59">I180</f>
        <v>18.7</v>
      </c>
      <c r="J179" s="123">
        <f t="shared" si="59"/>
        <v>0</v>
      </c>
      <c r="K179" s="123">
        <f t="shared" si="59"/>
        <v>0</v>
      </c>
      <c r="L179" s="123">
        <f t="shared" si="59"/>
        <v>0</v>
      </c>
      <c r="M179" s="270"/>
    </row>
    <row r="180" spans="1:13" ht="108" x14ac:dyDescent="0.2">
      <c r="A180" s="22" t="s">
        <v>569</v>
      </c>
      <c r="B180" s="30">
        <v>100</v>
      </c>
      <c r="C180" s="41" t="s">
        <v>790</v>
      </c>
      <c r="D180" s="22" t="s">
        <v>792</v>
      </c>
      <c r="E180" s="28" t="s">
        <v>456</v>
      </c>
      <c r="F180" s="94">
        <f>15000/1000</f>
        <v>15</v>
      </c>
      <c r="G180" s="123">
        <v>32</v>
      </c>
      <c r="H180" s="123">
        <v>14</v>
      </c>
      <c r="I180" s="123">
        <v>18.7</v>
      </c>
      <c r="J180" s="123">
        <v>0</v>
      </c>
      <c r="K180" s="123">
        <v>0</v>
      </c>
      <c r="L180" s="123">
        <v>0</v>
      </c>
      <c r="M180" s="270"/>
    </row>
    <row r="181" spans="1:13" ht="48" x14ac:dyDescent="0.2">
      <c r="A181" s="20" t="s">
        <v>261</v>
      </c>
      <c r="B181" s="21"/>
      <c r="C181" s="27"/>
      <c r="D181" s="27"/>
      <c r="E181" s="27"/>
      <c r="F181" s="96"/>
      <c r="G181" s="125"/>
      <c r="H181" s="125"/>
      <c r="I181" s="126"/>
      <c r="J181" s="126"/>
      <c r="K181" s="126"/>
      <c r="L181" s="126"/>
      <c r="M181" s="271"/>
    </row>
    <row r="182" spans="1:13" ht="48" x14ac:dyDescent="0.2">
      <c r="A182" s="20"/>
      <c r="B182" s="20"/>
      <c r="C182" s="28" t="s">
        <v>658</v>
      </c>
      <c r="D182" s="23" t="s">
        <v>261</v>
      </c>
      <c r="E182" s="27"/>
      <c r="F182" s="94">
        <f>146053.01/1000</f>
        <v>146.05301</v>
      </c>
      <c r="G182" s="123">
        <f>G183</f>
        <v>49.261000000000003</v>
      </c>
      <c r="H182" s="123">
        <f t="shared" ref="H182:L182" si="60">H183</f>
        <v>50.225000000000001</v>
      </c>
      <c r="I182" s="123">
        <f t="shared" si="60"/>
        <v>65</v>
      </c>
      <c r="J182" s="123">
        <f t="shared" si="60"/>
        <v>0</v>
      </c>
      <c r="K182" s="123">
        <f t="shared" si="60"/>
        <v>0</v>
      </c>
      <c r="L182" s="123">
        <f t="shared" si="60"/>
        <v>0</v>
      </c>
      <c r="M182" s="270"/>
    </row>
    <row r="183" spans="1:13" ht="48" x14ac:dyDescent="0.2">
      <c r="A183" s="23" t="s">
        <v>261</v>
      </c>
      <c r="B183" s="28" t="s">
        <v>437</v>
      </c>
      <c r="C183" s="47" t="s">
        <v>793</v>
      </c>
      <c r="D183" s="46" t="s">
        <v>261</v>
      </c>
      <c r="E183" s="28" t="s">
        <v>783</v>
      </c>
      <c r="F183" s="94"/>
      <c r="G183" s="123">
        <v>49.261000000000003</v>
      </c>
      <c r="H183" s="123">
        <v>50.225000000000001</v>
      </c>
      <c r="I183" s="123">
        <v>65</v>
      </c>
      <c r="J183" s="123">
        <v>0</v>
      </c>
      <c r="K183" s="123">
        <v>0</v>
      </c>
      <c r="L183" s="123">
        <v>0</v>
      </c>
      <c r="M183" s="270"/>
    </row>
    <row r="184" spans="1:13" ht="36" x14ac:dyDescent="0.2">
      <c r="A184" s="20" t="s">
        <v>264</v>
      </c>
      <c r="B184" s="28"/>
      <c r="C184" s="41"/>
      <c r="D184" s="46"/>
      <c r="E184" s="28"/>
      <c r="F184" s="94"/>
      <c r="G184" s="124"/>
      <c r="H184" s="124"/>
      <c r="I184" s="124"/>
      <c r="J184" s="124"/>
      <c r="K184" s="124"/>
      <c r="L184" s="124"/>
      <c r="M184" s="270"/>
    </row>
    <row r="185" spans="1:13" ht="36" x14ac:dyDescent="0.2">
      <c r="A185" s="20"/>
      <c r="B185" s="20"/>
      <c r="C185" s="28" t="s">
        <v>777</v>
      </c>
      <c r="D185" s="23" t="s">
        <v>264</v>
      </c>
      <c r="E185" s="27"/>
      <c r="F185" s="94">
        <f>10000/1000</f>
        <v>10</v>
      </c>
      <c r="G185" s="123">
        <f>G186</f>
        <v>34.5</v>
      </c>
      <c r="H185" s="123">
        <f>H186</f>
        <v>1.5</v>
      </c>
      <c r="I185" s="123">
        <f>I186</f>
        <v>1.5</v>
      </c>
      <c r="J185" s="123">
        <f t="shared" ref="J185:L185" si="61">J186</f>
        <v>0</v>
      </c>
      <c r="K185" s="123">
        <f t="shared" si="61"/>
        <v>0</v>
      </c>
      <c r="L185" s="123">
        <f t="shared" si="61"/>
        <v>0</v>
      </c>
      <c r="M185" s="270"/>
    </row>
    <row r="186" spans="1:13" ht="84" x14ac:dyDescent="0.2">
      <c r="A186" s="23" t="s">
        <v>267</v>
      </c>
      <c r="B186" s="28" t="s">
        <v>437</v>
      </c>
      <c r="C186" s="41" t="s">
        <v>659</v>
      </c>
      <c r="D186" s="46" t="s">
        <v>264</v>
      </c>
      <c r="E186" s="28" t="s">
        <v>456</v>
      </c>
      <c r="F186" s="94">
        <f>10000/1000</f>
        <v>10</v>
      </c>
      <c r="G186" s="123">
        <v>34.5</v>
      </c>
      <c r="H186" s="123">
        <v>1.5</v>
      </c>
      <c r="I186" s="123">
        <v>1.5</v>
      </c>
      <c r="J186" s="123">
        <v>0</v>
      </c>
      <c r="K186" s="123">
        <v>0</v>
      </c>
      <c r="L186" s="123">
        <v>0</v>
      </c>
      <c r="M186" s="270"/>
    </row>
    <row r="187" spans="1:13" ht="36" x14ac:dyDescent="0.2">
      <c r="A187" s="20" t="s">
        <v>270</v>
      </c>
      <c r="B187" s="28"/>
      <c r="C187" s="41"/>
      <c r="D187" s="46"/>
      <c r="E187" s="28"/>
      <c r="F187" s="94"/>
      <c r="G187" s="124"/>
      <c r="H187" s="124"/>
      <c r="I187" s="124"/>
      <c r="J187" s="124"/>
      <c r="K187" s="124"/>
      <c r="L187" s="124"/>
      <c r="M187" s="270"/>
    </row>
    <row r="188" spans="1:13" ht="24" x14ac:dyDescent="0.2">
      <c r="A188" s="20"/>
      <c r="B188" s="20"/>
      <c r="C188" s="28" t="s">
        <v>660</v>
      </c>
      <c r="D188" s="23" t="s">
        <v>270</v>
      </c>
      <c r="E188" s="27"/>
      <c r="F188" s="94">
        <f>520874.15/1000</f>
        <v>520.87414999999999</v>
      </c>
      <c r="G188" s="123">
        <f>G189</f>
        <v>20</v>
      </c>
      <c r="H188" s="123">
        <f t="shared" ref="H188:L188" si="62">H189</f>
        <v>0</v>
      </c>
      <c r="I188" s="123">
        <f t="shared" si="62"/>
        <v>10</v>
      </c>
      <c r="J188" s="123">
        <f t="shared" si="62"/>
        <v>0</v>
      </c>
      <c r="K188" s="123">
        <f t="shared" si="62"/>
        <v>0</v>
      </c>
      <c r="L188" s="123">
        <f t="shared" si="62"/>
        <v>0</v>
      </c>
      <c r="M188" s="270"/>
    </row>
    <row r="189" spans="1:13" ht="72" x14ac:dyDescent="0.2">
      <c r="A189" s="23" t="s">
        <v>273</v>
      </c>
      <c r="B189" s="28" t="s">
        <v>437</v>
      </c>
      <c r="C189" s="41" t="s">
        <v>661</v>
      </c>
      <c r="D189" s="46" t="s">
        <v>270</v>
      </c>
      <c r="E189" s="28" t="s">
        <v>457</v>
      </c>
      <c r="F189" s="94">
        <f>520874.15/1000</f>
        <v>520.87414999999999</v>
      </c>
      <c r="G189" s="123">
        <v>20</v>
      </c>
      <c r="H189" s="123">
        <v>0</v>
      </c>
      <c r="I189" s="123">
        <v>10</v>
      </c>
      <c r="J189" s="123">
        <v>0</v>
      </c>
      <c r="K189" s="123">
        <v>0</v>
      </c>
      <c r="L189" s="123">
        <v>0</v>
      </c>
      <c r="M189" s="270"/>
    </row>
    <row r="190" spans="1:13" ht="24" x14ac:dyDescent="0.2">
      <c r="A190" s="20" t="s">
        <v>925</v>
      </c>
      <c r="B190" s="28"/>
      <c r="C190" s="41"/>
      <c r="D190" s="46"/>
      <c r="E190" s="28"/>
      <c r="F190" s="94"/>
      <c r="G190" s="123"/>
      <c r="H190" s="123"/>
      <c r="I190" s="124"/>
      <c r="J190" s="124"/>
      <c r="K190" s="124"/>
      <c r="L190" s="124"/>
      <c r="M190" s="270"/>
    </row>
    <row r="191" spans="1:13" ht="48" x14ac:dyDescent="0.2">
      <c r="A191" s="23"/>
      <c r="B191" s="28"/>
      <c r="C191" s="28" t="s">
        <v>1048</v>
      </c>
      <c r="D191" s="46" t="s">
        <v>927</v>
      </c>
      <c r="E191" s="28"/>
      <c r="F191" s="94"/>
      <c r="G191" s="123">
        <f>G192</f>
        <v>0</v>
      </c>
      <c r="H191" s="123">
        <f t="shared" ref="H191:L191" si="63">H192</f>
        <v>30</v>
      </c>
      <c r="I191" s="123">
        <f t="shared" si="63"/>
        <v>30</v>
      </c>
      <c r="J191" s="123">
        <f t="shared" si="63"/>
        <v>0</v>
      </c>
      <c r="K191" s="123">
        <f t="shared" si="63"/>
        <v>0</v>
      </c>
      <c r="L191" s="123">
        <f t="shared" si="63"/>
        <v>0</v>
      </c>
      <c r="M191" s="270"/>
    </row>
    <row r="192" spans="1:13" ht="96" x14ac:dyDescent="0.2">
      <c r="A192" s="23" t="s">
        <v>929</v>
      </c>
      <c r="B192" s="28" t="s">
        <v>437</v>
      </c>
      <c r="C192" s="28" t="s">
        <v>1047</v>
      </c>
      <c r="D192" s="46" t="s">
        <v>927</v>
      </c>
      <c r="E192" s="28" t="s">
        <v>449</v>
      </c>
      <c r="F192" s="94"/>
      <c r="G192" s="123">
        <v>0</v>
      </c>
      <c r="H192" s="123">
        <v>30</v>
      </c>
      <c r="I192" s="123">
        <v>30</v>
      </c>
      <c r="J192" s="123">
        <v>0</v>
      </c>
      <c r="K192" s="123">
        <v>0</v>
      </c>
      <c r="L192" s="123">
        <v>0</v>
      </c>
      <c r="M192" s="270"/>
    </row>
    <row r="193" spans="1:13" ht="72" x14ac:dyDescent="0.2">
      <c r="A193" s="20" t="s">
        <v>276</v>
      </c>
      <c r="B193" s="20"/>
      <c r="D193" s="27"/>
      <c r="E193" s="27"/>
      <c r="F193" s="96"/>
      <c r="G193" s="125"/>
      <c r="H193" s="125"/>
      <c r="I193" s="126"/>
      <c r="J193" s="126"/>
      <c r="K193" s="126"/>
      <c r="L193" s="126"/>
      <c r="M193" s="271"/>
    </row>
    <row r="194" spans="1:13" ht="72" x14ac:dyDescent="0.2">
      <c r="A194" s="23"/>
      <c r="B194" s="23"/>
      <c r="C194" s="28" t="s">
        <v>662</v>
      </c>
      <c r="D194" s="23" t="s">
        <v>276</v>
      </c>
      <c r="E194" s="28"/>
      <c r="F194" s="94">
        <f>474463.8/1000</f>
        <v>474.46379999999999</v>
      </c>
      <c r="G194" s="123">
        <v>759.14099999999996</v>
      </c>
      <c r="H194" s="123">
        <v>783.55399999999997</v>
      </c>
      <c r="I194" s="123">
        <f>I195+I197+I196</f>
        <v>1044.5999999999999</v>
      </c>
      <c r="J194" s="123">
        <f t="shared" ref="J194:L194" si="64">J195+J197+J196</f>
        <v>0</v>
      </c>
      <c r="K194" s="123">
        <f t="shared" si="64"/>
        <v>0</v>
      </c>
      <c r="L194" s="123">
        <f t="shared" si="64"/>
        <v>0</v>
      </c>
      <c r="M194" s="270"/>
    </row>
    <row r="195" spans="1:13" ht="120" x14ac:dyDescent="0.2">
      <c r="A195" s="22" t="s">
        <v>280</v>
      </c>
      <c r="B195" s="30">
        <v>100</v>
      </c>
      <c r="C195" s="41" t="s">
        <v>663</v>
      </c>
      <c r="D195" s="46" t="s">
        <v>276</v>
      </c>
      <c r="E195" s="41" t="s">
        <v>456</v>
      </c>
      <c r="F195" s="94">
        <f>430574.11/1000</f>
        <v>430.57410999999996</v>
      </c>
      <c r="G195" s="123">
        <v>718.2</v>
      </c>
      <c r="H195" s="123">
        <v>732.10500000000002</v>
      </c>
      <c r="I195" s="123">
        <v>976.1</v>
      </c>
      <c r="J195" s="123">
        <v>0</v>
      </c>
      <c r="K195" s="123">
        <v>0</v>
      </c>
      <c r="L195" s="123">
        <v>0</v>
      </c>
      <c r="M195" s="270"/>
    </row>
    <row r="196" spans="1:13" ht="120" x14ac:dyDescent="0.2">
      <c r="A196" s="22" t="s">
        <v>280</v>
      </c>
      <c r="B196" s="30">
        <v>100</v>
      </c>
      <c r="C196" s="41" t="s">
        <v>1049</v>
      </c>
      <c r="D196" s="46" t="s">
        <v>276</v>
      </c>
      <c r="E196" s="28" t="s">
        <v>402</v>
      </c>
      <c r="F196" s="94"/>
      <c r="G196" s="123">
        <v>0</v>
      </c>
      <c r="H196" s="123">
        <v>0.5</v>
      </c>
      <c r="I196" s="123">
        <v>0.5</v>
      </c>
      <c r="J196" s="123">
        <v>0</v>
      </c>
      <c r="K196" s="123">
        <v>0</v>
      </c>
      <c r="L196" s="123">
        <v>0</v>
      </c>
      <c r="M196" s="270"/>
    </row>
    <row r="197" spans="1:13" ht="120" x14ac:dyDescent="0.2">
      <c r="A197" s="22" t="s">
        <v>280</v>
      </c>
      <c r="B197" s="30">
        <v>100</v>
      </c>
      <c r="C197" s="41" t="s">
        <v>664</v>
      </c>
      <c r="D197" s="46" t="s">
        <v>276</v>
      </c>
      <c r="E197" s="28" t="s">
        <v>449</v>
      </c>
      <c r="F197" s="94">
        <f>43889.69/1000</f>
        <v>43.889690000000002</v>
      </c>
      <c r="G197" s="123">
        <v>40.941000000000003</v>
      </c>
      <c r="H197" s="123">
        <v>50.948999999999998</v>
      </c>
      <c r="I197" s="123">
        <v>68</v>
      </c>
      <c r="J197" s="123">
        <v>0</v>
      </c>
      <c r="K197" s="123">
        <v>0</v>
      </c>
      <c r="L197" s="123">
        <v>0</v>
      </c>
      <c r="M197" s="270"/>
    </row>
    <row r="198" spans="1:13" ht="60" x14ac:dyDescent="0.2">
      <c r="A198" s="20" t="s">
        <v>779</v>
      </c>
      <c r="B198" s="20"/>
      <c r="C198" s="27"/>
      <c r="D198" s="27"/>
      <c r="E198" s="27"/>
      <c r="F198" s="96"/>
      <c r="G198" s="125"/>
      <c r="H198" s="125"/>
      <c r="I198" s="126"/>
      <c r="J198" s="126"/>
      <c r="K198" s="126"/>
      <c r="L198" s="126"/>
      <c r="M198" s="271"/>
    </row>
    <row r="199" spans="1:13" ht="72" x14ac:dyDescent="0.2">
      <c r="A199" s="20"/>
      <c r="B199" s="20"/>
      <c r="C199" s="28" t="s">
        <v>665</v>
      </c>
      <c r="D199" s="23" t="s">
        <v>288</v>
      </c>
      <c r="E199" s="27"/>
      <c r="F199" s="94">
        <f>66082.7/1000</f>
        <v>66.082700000000003</v>
      </c>
      <c r="G199" s="123">
        <f>G200</f>
        <v>11</v>
      </c>
      <c r="H199" s="123">
        <f>H200</f>
        <v>28</v>
      </c>
      <c r="I199" s="123">
        <f t="shared" ref="I199:L199" si="65">I200</f>
        <v>28</v>
      </c>
      <c r="J199" s="123">
        <f t="shared" si="65"/>
        <v>0</v>
      </c>
      <c r="K199" s="123">
        <f t="shared" si="65"/>
        <v>0</v>
      </c>
      <c r="L199" s="123">
        <f t="shared" si="65"/>
        <v>0</v>
      </c>
      <c r="M199" s="270"/>
    </row>
    <row r="200" spans="1:13" ht="120" x14ac:dyDescent="0.2">
      <c r="A200" s="22" t="s">
        <v>291</v>
      </c>
      <c r="B200" s="30">
        <v>100</v>
      </c>
      <c r="C200" s="41" t="s">
        <v>666</v>
      </c>
      <c r="D200" s="46" t="s">
        <v>288</v>
      </c>
      <c r="E200" s="28" t="s">
        <v>449</v>
      </c>
      <c r="F200" s="94">
        <f>66082.7/1000</f>
        <v>66.082700000000003</v>
      </c>
      <c r="G200" s="123">
        <v>11</v>
      </c>
      <c r="H200" s="123">
        <v>28</v>
      </c>
      <c r="I200" s="123">
        <v>28</v>
      </c>
      <c r="J200" s="123">
        <v>0</v>
      </c>
      <c r="K200" s="123">
        <v>0</v>
      </c>
      <c r="L200" s="123">
        <v>0</v>
      </c>
      <c r="M200" s="270"/>
    </row>
    <row r="201" spans="1:13" ht="36" x14ac:dyDescent="0.2">
      <c r="A201" s="20" t="s">
        <v>294</v>
      </c>
      <c r="B201" s="30"/>
      <c r="C201" s="41"/>
      <c r="D201" s="46"/>
      <c r="E201" s="28"/>
      <c r="F201" s="94"/>
      <c r="G201" s="124"/>
      <c r="H201" s="124"/>
      <c r="I201" s="124"/>
      <c r="J201" s="124"/>
      <c r="K201" s="124"/>
      <c r="L201" s="124"/>
      <c r="M201" s="270"/>
    </row>
    <row r="202" spans="1:13" ht="36" x14ac:dyDescent="0.2">
      <c r="A202" s="23"/>
      <c r="B202" s="28"/>
      <c r="C202" s="28" t="s">
        <v>667</v>
      </c>
      <c r="D202" s="23" t="s">
        <v>294</v>
      </c>
      <c r="E202" s="28"/>
      <c r="F202" s="94">
        <f>76425.3/1000</f>
        <v>76.425300000000007</v>
      </c>
      <c r="G202" s="123">
        <f>G203</f>
        <v>159.40199999999999</v>
      </c>
      <c r="H202" s="123">
        <f>H203</f>
        <v>365.49200000000002</v>
      </c>
      <c r="I202" s="123">
        <f t="shared" ref="I202:L202" si="66">I203</f>
        <v>487.3</v>
      </c>
      <c r="J202" s="123">
        <f t="shared" si="66"/>
        <v>0</v>
      </c>
      <c r="K202" s="123">
        <f t="shared" si="66"/>
        <v>0</v>
      </c>
      <c r="L202" s="123">
        <f t="shared" si="66"/>
        <v>0</v>
      </c>
      <c r="M202" s="270"/>
    </row>
    <row r="203" spans="1:13" ht="72" x14ac:dyDescent="0.2">
      <c r="A203" s="23" t="s">
        <v>297</v>
      </c>
      <c r="B203" s="28" t="s">
        <v>437</v>
      </c>
      <c r="C203" s="41" t="s">
        <v>668</v>
      </c>
      <c r="D203" s="46" t="s">
        <v>294</v>
      </c>
      <c r="E203" s="28" t="s">
        <v>449</v>
      </c>
      <c r="F203" s="94">
        <f>76425.3/1000</f>
        <v>76.425300000000007</v>
      </c>
      <c r="G203" s="123">
        <v>159.40199999999999</v>
      </c>
      <c r="H203" s="123">
        <v>365.49200000000002</v>
      </c>
      <c r="I203" s="123">
        <v>487.3</v>
      </c>
      <c r="J203" s="123">
        <v>0</v>
      </c>
      <c r="K203" s="123">
        <v>0</v>
      </c>
      <c r="L203" s="123">
        <v>0</v>
      </c>
      <c r="M203" s="270"/>
    </row>
    <row r="204" spans="1:13" ht="84" x14ac:dyDescent="0.2">
      <c r="A204" s="20" t="s">
        <v>300</v>
      </c>
      <c r="B204" s="20"/>
      <c r="C204" s="27"/>
      <c r="D204" s="27"/>
      <c r="E204" s="27"/>
      <c r="F204" s="96"/>
      <c r="G204" s="125"/>
      <c r="H204" s="125"/>
      <c r="I204" s="126"/>
      <c r="J204" s="126"/>
      <c r="K204" s="126"/>
      <c r="L204" s="126"/>
      <c r="M204" s="271"/>
    </row>
    <row r="205" spans="1:13" ht="84" x14ac:dyDescent="0.2">
      <c r="A205" s="20"/>
      <c r="B205" s="20"/>
      <c r="C205" s="28" t="s">
        <v>669</v>
      </c>
      <c r="D205" s="23" t="s">
        <v>302</v>
      </c>
      <c r="E205" s="27"/>
      <c r="F205" s="94">
        <f>50543.55/1000</f>
        <v>50.543550000000003</v>
      </c>
      <c r="G205" s="123">
        <v>34.192</v>
      </c>
      <c r="H205" s="123">
        <v>0</v>
      </c>
      <c r="I205" s="123">
        <f t="shared" ref="I205:L205" si="67">I206+I207</f>
        <v>31.3</v>
      </c>
      <c r="J205" s="123">
        <f t="shared" si="67"/>
        <v>0</v>
      </c>
      <c r="K205" s="123">
        <f t="shared" si="67"/>
        <v>0</v>
      </c>
      <c r="L205" s="123">
        <f t="shared" si="67"/>
        <v>0</v>
      </c>
      <c r="M205" s="270"/>
    </row>
    <row r="206" spans="1:13" ht="84" x14ac:dyDescent="0.2">
      <c r="A206" s="23" t="s">
        <v>302</v>
      </c>
      <c r="B206" s="45" t="s">
        <v>437</v>
      </c>
      <c r="C206" s="41" t="s">
        <v>670</v>
      </c>
      <c r="D206" s="46" t="s">
        <v>302</v>
      </c>
      <c r="E206" s="41" t="s">
        <v>451</v>
      </c>
      <c r="F206" s="94">
        <f>50000/1000</f>
        <v>50</v>
      </c>
      <c r="G206" s="123">
        <v>30</v>
      </c>
      <c r="H206" s="123">
        <v>0</v>
      </c>
      <c r="I206" s="123">
        <v>31.3</v>
      </c>
      <c r="J206" s="123">
        <v>0</v>
      </c>
      <c r="K206" s="123">
        <v>0</v>
      </c>
      <c r="L206" s="123">
        <v>0</v>
      </c>
      <c r="M206" s="270"/>
    </row>
    <row r="207" spans="1:13" ht="108" x14ac:dyDescent="0.2">
      <c r="A207" s="23" t="s">
        <v>302</v>
      </c>
      <c r="B207" s="45" t="s">
        <v>437</v>
      </c>
      <c r="C207" s="41" t="s">
        <v>778</v>
      </c>
      <c r="D207" s="46" t="s">
        <v>302</v>
      </c>
      <c r="E207" s="45" t="s">
        <v>774</v>
      </c>
      <c r="F207" s="94">
        <f>543.55/1000</f>
        <v>0.54354999999999998</v>
      </c>
      <c r="G207" s="123">
        <v>4.1920000000000002</v>
      </c>
      <c r="H207" s="123">
        <v>0</v>
      </c>
      <c r="I207" s="123">
        <v>0</v>
      </c>
      <c r="J207" s="123">
        <v>0</v>
      </c>
      <c r="K207" s="123">
        <v>0</v>
      </c>
      <c r="L207" s="123">
        <v>0</v>
      </c>
      <c r="M207" s="270"/>
    </row>
    <row r="208" spans="1:13" ht="24" x14ac:dyDescent="0.2">
      <c r="A208" s="20" t="s">
        <v>305</v>
      </c>
      <c r="B208" s="20"/>
      <c r="C208" s="27"/>
      <c r="D208" s="27"/>
      <c r="E208" s="27"/>
      <c r="F208" s="96"/>
      <c r="G208" s="125"/>
      <c r="H208" s="125"/>
      <c r="I208" s="126"/>
      <c r="J208" s="126"/>
      <c r="K208" s="126"/>
      <c r="L208" s="126"/>
      <c r="M208" s="271"/>
    </row>
    <row r="209" spans="1:16" ht="48" x14ac:dyDescent="0.2">
      <c r="A209" s="20"/>
      <c r="B209" s="20"/>
      <c r="C209" s="28" t="s">
        <v>671</v>
      </c>
      <c r="D209" s="23" t="s">
        <v>307</v>
      </c>
      <c r="E209" s="27"/>
      <c r="F209" s="94">
        <f>152279/1000</f>
        <v>152.279</v>
      </c>
      <c r="G209" s="123">
        <f>G211</f>
        <v>31.628</v>
      </c>
      <c r="H209" s="123">
        <v>219.35</v>
      </c>
      <c r="I209" s="123">
        <f>I211+I210</f>
        <v>229.4</v>
      </c>
      <c r="J209" s="123">
        <f t="shared" ref="J209:L209" si="68">J211+J210</f>
        <v>0</v>
      </c>
      <c r="K209" s="123">
        <f t="shared" si="68"/>
        <v>0</v>
      </c>
      <c r="L209" s="123">
        <f t="shared" si="68"/>
        <v>0</v>
      </c>
      <c r="M209" s="270"/>
    </row>
    <row r="210" spans="1:16" ht="48" x14ac:dyDescent="0.2">
      <c r="A210" s="23" t="s">
        <v>307</v>
      </c>
      <c r="B210" s="28" t="s">
        <v>437</v>
      </c>
      <c r="C210" s="41" t="s">
        <v>1050</v>
      </c>
      <c r="D210" s="23" t="s">
        <v>307</v>
      </c>
      <c r="E210" s="28" t="s">
        <v>783</v>
      </c>
      <c r="F210" s="94"/>
      <c r="G210" s="123">
        <v>0</v>
      </c>
      <c r="H210" s="123">
        <v>0.4</v>
      </c>
      <c r="I210" s="123">
        <v>0.4</v>
      </c>
      <c r="J210" s="123">
        <v>0</v>
      </c>
      <c r="K210" s="123">
        <v>0</v>
      </c>
      <c r="L210" s="123">
        <v>0</v>
      </c>
      <c r="M210" s="270"/>
    </row>
    <row r="211" spans="1:16" ht="96" x14ac:dyDescent="0.2">
      <c r="A211" s="23" t="s">
        <v>310</v>
      </c>
      <c r="B211" s="28" t="s">
        <v>437</v>
      </c>
      <c r="C211" s="41" t="s">
        <v>672</v>
      </c>
      <c r="D211" s="46" t="s">
        <v>307</v>
      </c>
      <c r="E211" s="28" t="s">
        <v>458</v>
      </c>
      <c r="F211" s="94">
        <f>152279/1000</f>
        <v>152.279</v>
      </c>
      <c r="G211" s="123">
        <v>31.628</v>
      </c>
      <c r="H211" s="123">
        <v>218.95</v>
      </c>
      <c r="I211" s="123">
        <v>229</v>
      </c>
      <c r="J211" s="123">
        <v>0</v>
      </c>
      <c r="K211" s="123">
        <v>0</v>
      </c>
      <c r="L211" s="123">
        <v>0</v>
      </c>
      <c r="M211" s="270"/>
    </row>
    <row r="212" spans="1:16" ht="84" x14ac:dyDescent="0.2">
      <c r="A212" s="20" t="s">
        <v>313</v>
      </c>
      <c r="B212" s="20"/>
      <c r="C212" s="27"/>
      <c r="D212" s="27"/>
      <c r="E212" s="27"/>
      <c r="F212" s="96"/>
      <c r="G212" s="125"/>
      <c r="H212" s="125"/>
      <c r="I212" s="126"/>
      <c r="J212" s="126"/>
      <c r="K212" s="126"/>
      <c r="L212" s="126"/>
      <c r="M212" s="271"/>
    </row>
    <row r="213" spans="1:16" ht="84" x14ac:dyDescent="0.2">
      <c r="A213" s="23"/>
      <c r="B213" s="23"/>
      <c r="C213" s="28" t="s">
        <v>673</v>
      </c>
      <c r="D213" s="23" t="s">
        <v>313</v>
      </c>
      <c r="E213" s="28"/>
      <c r="F213" s="94">
        <f>23010.23/1000</f>
        <v>23.01023</v>
      </c>
      <c r="G213" s="123">
        <v>386.3</v>
      </c>
      <c r="H213" s="123">
        <v>1043.2819999999999</v>
      </c>
      <c r="I213" s="123">
        <f>I215+I216+I217+I218+I214</f>
        <v>1829.7</v>
      </c>
      <c r="J213" s="123">
        <f t="shared" ref="J213:L213" si="69">J215+J216+J217+J218</f>
        <v>0</v>
      </c>
      <c r="K213" s="123">
        <f t="shared" si="69"/>
        <v>0</v>
      </c>
      <c r="L213" s="123">
        <f t="shared" si="69"/>
        <v>0</v>
      </c>
      <c r="M213" s="270"/>
    </row>
    <row r="214" spans="1:16" ht="132" x14ac:dyDescent="0.2">
      <c r="A214" s="22" t="s">
        <v>315</v>
      </c>
      <c r="B214" s="30" t="s">
        <v>437</v>
      </c>
      <c r="C214" s="41" t="s">
        <v>1051</v>
      </c>
      <c r="D214" s="46" t="s">
        <v>313</v>
      </c>
      <c r="E214" s="28"/>
      <c r="F214" s="94"/>
      <c r="G214" s="123">
        <v>0</v>
      </c>
      <c r="H214" s="123">
        <v>15</v>
      </c>
      <c r="I214" s="123">
        <v>15</v>
      </c>
      <c r="J214" s="123">
        <v>0</v>
      </c>
      <c r="K214" s="123">
        <v>0</v>
      </c>
      <c r="L214" s="123">
        <v>0</v>
      </c>
      <c r="M214" s="270"/>
    </row>
    <row r="215" spans="1:16" ht="84" x14ac:dyDescent="0.2">
      <c r="A215" s="22" t="s">
        <v>313</v>
      </c>
      <c r="B215" s="30">
        <v>100</v>
      </c>
      <c r="C215" s="41" t="s">
        <v>780</v>
      </c>
      <c r="D215" s="46" t="s">
        <v>313</v>
      </c>
      <c r="E215" s="28" t="s">
        <v>783</v>
      </c>
      <c r="F215" s="94"/>
      <c r="G215" s="123">
        <v>200</v>
      </c>
      <c r="H215" s="123">
        <v>900</v>
      </c>
      <c r="I215" s="123">
        <v>1605</v>
      </c>
      <c r="J215" s="123">
        <v>0</v>
      </c>
      <c r="K215" s="123">
        <v>0</v>
      </c>
      <c r="L215" s="123">
        <v>0</v>
      </c>
      <c r="M215" s="270"/>
    </row>
    <row r="216" spans="1:16" ht="132" x14ac:dyDescent="0.2">
      <c r="A216" s="22" t="s">
        <v>315</v>
      </c>
      <c r="B216" s="30">
        <v>100</v>
      </c>
      <c r="C216" s="41" t="s">
        <v>781</v>
      </c>
      <c r="D216" s="46" t="s">
        <v>313</v>
      </c>
      <c r="E216" s="28" t="s">
        <v>402</v>
      </c>
      <c r="F216" s="94"/>
      <c r="G216" s="123">
        <v>36.863999999999997</v>
      </c>
      <c r="H216" s="123">
        <v>0</v>
      </c>
      <c r="I216" s="123">
        <v>38.4</v>
      </c>
      <c r="J216" s="123">
        <v>0</v>
      </c>
      <c r="K216" s="123">
        <v>0</v>
      </c>
      <c r="L216" s="123">
        <v>0</v>
      </c>
      <c r="M216" s="270"/>
    </row>
    <row r="217" spans="1:16" ht="132" x14ac:dyDescent="0.2">
      <c r="A217" s="22" t="s">
        <v>315</v>
      </c>
      <c r="B217" s="30">
        <v>100</v>
      </c>
      <c r="C217" s="41" t="s">
        <v>674</v>
      </c>
      <c r="D217" s="46" t="s">
        <v>313</v>
      </c>
      <c r="E217" s="41" t="s">
        <v>449</v>
      </c>
      <c r="F217" s="94"/>
      <c r="G217" s="123">
        <v>148.381</v>
      </c>
      <c r="H217" s="123">
        <v>128.28200000000001</v>
      </c>
      <c r="I217" s="123">
        <v>171.3</v>
      </c>
      <c r="J217" s="123">
        <v>0</v>
      </c>
      <c r="K217" s="123">
        <v>0</v>
      </c>
      <c r="L217" s="123">
        <v>0</v>
      </c>
      <c r="M217" s="270"/>
    </row>
    <row r="218" spans="1:16" ht="132" x14ac:dyDescent="0.2">
      <c r="A218" s="22" t="s">
        <v>315</v>
      </c>
      <c r="B218" s="30">
        <v>100</v>
      </c>
      <c r="C218" s="41" t="s">
        <v>782</v>
      </c>
      <c r="D218" s="46" t="s">
        <v>313</v>
      </c>
      <c r="E218" s="41" t="s">
        <v>784</v>
      </c>
      <c r="F218" s="94">
        <f>23010.23/1000</f>
        <v>23.01023</v>
      </c>
      <c r="G218" s="123">
        <v>1.03</v>
      </c>
      <c r="H218" s="123">
        <v>0</v>
      </c>
      <c r="I218" s="123">
        <v>0</v>
      </c>
      <c r="J218" s="123">
        <v>0</v>
      </c>
      <c r="K218" s="123">
        <v>0</v>
      </c>
      <c r="L218" s="123">
        <v>0</v>
      </c>
      <c r="M218" s="270"/>
    </row>
    <row r="219" spans="1:16" ht="36" x14ac:dyDescent="0.2">
      <c r="A219" s="20" t="s">
        <v>318</v>
      </c>
      <c r="B219" s="20"/>
      <c r="C219" s="27"/>
      <c r="D219" s="27"/>
      <c r="E219" s="27"/>
      <c r="F219" s="96"/>
      <c r="G219" s="125"/>
      <c r="H219" s="125"/>
      <c r="I219" s="126"/>
      <c r="J219" s="126"/>
      <c r="K219" s="126"/>
      <c r="L219" s="126"/>
      <c r="M219" s="271"/>
    </row>
    <row r="220" spans="1:16" ht="48" x14ac:dyDescent="0.2">
      <c r="A220" s="20"/>
      <c r="B220" s="20"/>
      <c r="C220" s="28" t="s">
        <v>675</v>
      </c>
      <c r="D220" s="23" t="s">
        <v>320</v>
      </c>
      <c r="E220" s="27"/>
      <c r="F220" s="94">
        <f>4616348.78/1000</f>
        <v>4616.3487800000003</v>
      </c>
      <c r="G220" s="123">
        <v>2574.9</v>
      </c>
      <c r="H220" s="123">
        <v>3360.3449999999998</v>
      </c>
      <c r="I220" s="123">
        <f>I221+I222+I223+I224+I225+I227+I228+I231+I232+I233+I229+I230</f>
        <v>4332</v>
      </c>
      <c r="J220" s="123">
        <f t="shared" ref="J220:L220" si="70">J221+J222+J223+J224+J225+J227+J228+J231+J232+J233+J229+J230</f>
        <v>0</v>
      </c>
      <c r="K220" s="123">
        <f t="shared" si="70"/>
        <v>0</v>
      </c>
      <c r="L220" s="123">
        <f t="shared" si="70"/>
        <v>0</v>
      </c>
      <c r="M220" s="270"/>
      <c r="P220" s="259"/>
    </row>
    <row r="221" spans="1:16" ht="48" x14ac:dyDescent="0.2">
      <c r="A221" s="23" t="s">
        <v>320</v>
      </c>
      <c r="B221" s="28" t="s">
        <v>437</v>
      </c>
      <c r="C221" s="41" t="s">
        <v>676</v>
      </c>
      <c r="D221" s="46" t="s">
        <v>320</v>
      </c>
      <c r="E221" s="47" t="s">
        <v>455</v>
      </c>
      <c r="F221" s="94">
        <f>106000/1000</f>
        <v>106</v>
      </c>
      <c r="G221" s="123">
        <v>47.18</v>
      </c>
      <c r="H221" s="123">
        <v>35.799999999999997</v>
      </c>
      <c r="I221" s="123">
        <v>47.7</v>
      </c>
      <c r="J221" s="123">
        <v>0</v>
      </c>
      <c r="K221" s="123">
        <v>0</v>
      </c>
      <c r="L221" s="123">
        <v>0</v>
      </c>
      <c r="M221" s="270"/>
    </row>
    <row r="222" spans="1:16" ht="48" x14ac:dyDescent="0.2">
      <c r="A222" s="23" t="s">
        <v>320</v>
      </c>
      <c r="B222" s="28" t="s">
        <v>437</v>
      </c>
      <c r="C222" s="41" t="s">
        <v>785</v>
      </c>
      <c r="D222" s="46" t="s">
        <v>320</v>
      </c>
      <c r="E222" s="41" t="s">
        <v>786</v>
      </c>
      <c r="F222" s="94">
        <f>10800/1000</f>
        <v>10.8</v>
      </c>
      <c r="G222" s="123">
        <v>50</v>
      </c>
      <c r="H222" s="123">
        <v>50</v>
      </c>
      <c r="I222" s="123">
        <v>50</v>
      </c>
      <c r="J222" s="123">
        <v>0</v>
      </c>
      <c r="K222" s="123">
        <v>0</v>
      </c>
      <c r="L222" s="123">
        <v>0</v>
      </c>
      <c r="M222" s="270"/>
    </row>
    <row r="223" spans="1:16" ht="48" x14ac:dyDescent="0.2">
      <c r="A223" s="23" t="s">
        <v>320</v>
      </c>
      <c r="B223" s="28" t="s">
        <v>437</v>
      </c>
      <c r="C223" s="41" t="s">
        <v>677</v>
      </c>
      <c r="D223" s="46" t="s">
        <v>320</v>
      </c>
      <c r="E223" s="41" t="s">
        <v>453</v>
      </c>
      <c r="F223" s="95">
        <f>216709.94/1000</f>
        <v>216.70993999999999</v>
      </c>
      <c r="G223" s="123">
        <v>30</v>
      </c>
      <c r="H223" s="123">
        <v>0</v>
      </c>
      <c r="I223" s="123">
        <v>18.8</v>
      </c>
      <c r="J223" s="123">
        <v>0</v>
      </c>
      <c r="K223" s="123">
        <v>0</v>
      </c>
      <c r="L223" s="123">
        <v>0</v>
      </c>
      <c r="M223" s="270"/>
    </row>
    <row r="224" spans="1:16" ht="48" x14ac:dyDescent="0.2">
      <c r="A224" s="23" t="s">
        <v>320</v>
      </c>
      <c r="B224" s="28" t="s">
        <v>437</v>
      </c>
      <c r="C224" s="41" t="s">
        <v>787</v>
      </c>
      <c r="D224" s="46" t="s">
        <v>320</v>
      </c>
      <c r="E224" s="41" t="s">
        <v>783</v>
      </c>
      <c r="F224" s="95"/>
      <c r="G224" s="123">
        <v>122.1</v>
      </c>
      <c r="H224" s="123">
        <v>8</v>
      </c>
      <c r="I224" s="123">
        <v>8</v>
      </c>
      <c r="J224" s="123">
        <v>0</v>
      </c>
      <c r="K224" s="123">
        <v>0</v>
      </c>
      <c r="L224" s="123">
        <v>0</v>
      </c>
      <c r="M224" s="270"/>
    </row>
    <row r="225" spans="1:17" ht="48" x14ac:dyDescent="0.2">
      <c r="A225" s="23" t="s">
        <v>320</v>
      </c>
      <c r="B225" s="28" t="s">
        <v>437</v>
      </c>
      <c r="C225" s="41" t="s">
        <v>678</v>
      </c>
      <c r="D225" s="46" t="s">
        <v>320</v>
      </c>
      <c r="E225" s="41" t="s">
        <v>443</v>
      </c>
      <c r="F225" s="94">
        <f>2533444.48/1000</f>
        <v>2533.4444800000001</v>
      </c>
      <c r="G225" s="123">
        <v>684.14300000000003</v>
      </c>
      <c r="H225" s="123">
        <v>1580.048</v>
      </c>
      <c r="I225" s="123">
        <v>1920.7</v>
      </c>
      <c r="J225" s="123">
        <v>0</v>
      </c>
      <c r="K225" s="123">
        <v>0</v>
      </c>
      <c r="L225" s="123">
        <v>0</v>
      </c>
      <c r="M225" s="270"/>
    </row>
    <row r="226" spans="1:17" ht="108" x14ac:dyDescent="0.2">
      <c r="A226" s="23" t="s">
        <v>320</v>
      </c>
      <c r="B226" s="28" t="s">
        <v>437</v>
      </c>
      <c r="C226" s="41" t="s">
        <v>1035</v>
      </c>
      <c r="D226" s="46" t="s">
        <v>320</v>
      </c>
      <c r="E226" s="45" t="s">
        <v>774</v>
      </c>
      <c r="F226" s="94"/>
      <c r="G226" s="123">
        <v>37.603999999999999</v>
      </c>
      <c r="H226" s="123">
        <v>0</v>
      </c>
      <c r="I226" s="123">
        <v>0</v>
      </c>
      <c r="J226" s="123">
        <v>0</v>
      </c>
      <c r="K226" s="123">
        <v>0</v>
      </c>
      <c r="L226" s="123">
        <v>0</v>
      </c>
      <c r="M226" s="270"/>
    </row>
    <row r="227" spans="1:17" ht="96" x14ac:dyDescent="0.2">
      <c r="A227" s="22" t="s">
        <v>331</v>
      </c>
      <c r="B227" s="28" t="s">
        <v>437</v>
      </c>
      <c r="C227" s="41" t="s">
        <v>679</v>
      </c>
      <c r="D227" s="46" t="s">
        <v>320</v>
      </c>
      <c r="E227" s="28" t="s">
        <v>458</v>
      </c>
      <c r="F227" s="94">
        <f>578797.55/1000</f>
        <v>578.79755</v>
      </c>
      <c r="G227" s="123">
        <v>452.53300000000002</v>
      </c>
      <c r="H227" s="123">
        <v>728.52300000000002</v>
      </c>
      <c r="I227" s="123">
        <v>971.3</v>
      </c>
      <c r="J227" s="123">
        <v>0</v>
      </c>
      <c r="K227" s="123">
        <v>0</v>
      </c>
      <c r="L227" s="123">
        <v>0</v>
      </c>
      <c r="M227" s="270"/>
    </row>
    <row r="228" spans="1:17" ht="96" x14ac:dyDescent="0.2">
      <c r="A228" s="22" t="s">
        <v>331</v>
      </c>
      <c r="B228" s="28" t="s">
        <v>437</v>
      </c>
      <c r="C228" s="41" t="s">
        <v>680</v>
      </c>
      <c r="D228" s="46" t="s">
        <v>320</v>
      </c>
      <c r="E228" s="41" t="s">
        <v>456</v>
      </c>
      <c r="F228" s="94">
        <f>11500/1000</f>
        <v>11.5</v>
      </c>
      <c r="G228" s="123">
        <v>40</v>
      </c>
      <c r="H228" s="123">
        <v>28</v>
      </c>
      <c r="I228" s="123">
        <v>37.299999999999997</v>
      </c>
      <c r="J228" s="123">
        <v>0</v>
      </c>
      <c r="K228" s="123">
        <v>0</v>
      </c>
      <c r="L228" s="123">
        <v>0</v>
      </c>
      <c r="M228" s="270"/>
    </row>
    <row r="229" spans="1:17" ht="96" x14ac:dyDescent="0.2">
      <c r="A229" s="22" t="s">
        <v>331</v>
      </c>
      <c r="B229" s="28" t="s">
        <v>437</v>
      </c>
      <c r="C229" s="41" t="s">
        <v>683</v>
      </c>
      <c r="D229" s="46" t="s">
        <v>320</v>
      </c>
      <c r="E229" s="45" t="s">
        <v>454</v>
      </c>
      <c r="F229" s="94"/>
      <c r="G229" s="123">
        <v>0</v>
      </c>
      <c r="H229" s="123">
        <v>29.98</v>
      </c>
      <c r="I229" s="123">
        <v>40</v>
      </c>
      <c r="J229" s="123">
        <v>0</v>
      </c>
      <c r="K229" s="123">
        <v>0</v>
      </c>
      <c r="L229" s="123">
        <v>0</v>
      </c>
      <c r="M229" s="270"/>
    </row>
    <row r="230" spans="1:17" ht="96" x14ac:dyDescent="0.2">
      <c r="A230" s="22" t="s">
        <v>331</v>
      </c>
      <c r="B230" s="28" t="s">
        <v>437</v>
      </c>
      <c r="C230" s="41" t="s">
        <v>1052</v>
      </c>
      <c r="D230" s="46" t="s">
        <v>320</v>
      </c>
      <c r="E230" s="28" t="s">
        <v>402</v>
      </c>
      <c r="F230" s="94"/>
      <c r="G230" s="123">
        <v>0</v>
      </c>
      <c r="H230" s="123">
        <v>1.617</v>
      </c>
      <c r="I230" s="123">
        <v>1.6</v>
      </c>
      <c r="J230" s="123">
        <v>0</v>
      </c>
      <c r="K230" s="123">
        <v>0</v>
      </c>
      <c r="L230" s="123">
        <v>0</v>
      </c>
      <c r="M230" s="270"/>
    </row>
    <row r="231" spans="1:17" ht="96" x14ac:dyDescent="0.2">
      <c r="A231" s="22" t="s">
        <v>331</v>
      </c>
      <c r="B231" s="28" t="s">
        <v>437</v>
      </c>
      <c r="C231" s="41" t="s">
        <v>681</v>
      </c>
      <c r="D231" s="46" t="s">
        <v>320</v>
      </c>
      <c r="E231" s="41" t="s">
        <v>449</v>
      </c>
      <c r="F231" s="94">
        <f>1007953/1000</f>
        <v>1007.953</v>
      </c>
      <c r="G231" s="123">
        <v>997.64400000000001</v>
      </c>
      <c r="H231" s="123">
        <v>855.029</v>
      </c>
      <c r="I231" s="123">
        <v>1132</v>
      </c>
      <c r="J231" s="123">
        <v>0</v>
      </c>
      <c r="K231" s="123">
        <v>0</v>
      </c>
      <c r="L231" s="123">
        <v>0</v>
      </c>
      <c r="M231" s="270"/>
    </row>
    <row r="232" spans="1:17" ht="96" x14ac:dyDescent="0.2">
      <c r="A232" s="22" t="s">
        <v>331</v>
      </c>
      <c r="B232" s="28" t="s">
        <v>437</v>
      </c>
      <c r="C232" s="41" t="s">
        <v>682</v>
      </c>
      <c r="D232" s="46" t="s">
        <v>320</v>
      </c>
      <c r="E232" s="41" t="s">
        <v>452</v>
      </c>
      <c r="F232" s="94">
        <f>103812.13/1000</f>
        <v>103.81213000000001</v>
      </c>
      <c r="G232" s="123">
        <v>76.694999999999993</v>
      </c>
      <c r="H232" s="123">
        <v>43.347999999999999</v>
      </c>
      <c r="I232" s="123">
        <v>57.7</v>
      </c>
      <c r="J232" s="123">
        <v>0</v>
      </c>
      <c r="K232" s="123">
        <v>0</v>
      </c>
      <c r="L232" s="123">
        <v>0</v>
      </c>
      <c r="M232" s="270"/>
    </row>
    <row r="233" spans="1:17" ht="60" x14ac:dyDescent="0.2">
      <c r="A233" s="23" t="s">
        <v>337</v>
      </c>
      <c r="B233" s="28" t="s">
        <v>437</v>
      </c>
      <c r="C233" s="41" t="s">
        <v>683</v>
      </c>
      <c r="D233" s="46" t="s">
        <v>320</v>
      </c>
      <c r="E233" s="45" t="s">
        <v>454</v>
      </c>
      <c r="F233" s="94">
        <f>24031.68/1000</f>
        <v>24.031680000000001</v>
      </c>
      <c r="G233" s="123">
        <v>37</v>
      </c>
      <c r="H233" s="123">
        <v>0</v>
      </c>
      <c r="I233" s="123">
        <v>46.9</v>
      </c>
      <c r="J233" s="123">
        <v>0</v>
      </c>
      <c r="K233" s="123">
        <v>0</v>
      </c>
      <c r="L233" s="123">
        <v>0</v>
      </c>
      <c r="M233" s="270"/>
    </row>
    <row r="234" spans="1:17" s="26" customFormat="1" ht="12" x14ac:dyDescent="0.2">
      <c r="A234" s="39" t="s">
        <v>571</v>
      </c>
      <c r="B234" s="39"/>
      <c r="C234" s="40"/>
      <c r="D234" s="40"/>
      <c r="E234" s="40"/>
      <c r="F234" s="96"/>
      <c r="G234" s="125"/>
      <c r="H234" s="125"/>
      <c r="I234" s="126"/>
      <c r="J234" s="126"/>
      <c r="K234" s="126"/>
      <c r="L234" s="126"/>
      <c r="M234" s="271"/>
      <c r="N234" s="254"/>
      <c r="O234" s="255"/>
      <c r="P234" s="256"/>
      <c r="Q234" s="256"/>
    </row>
    <row r="235" spans="1:17" ht="36" x14ac:dyDescent="0.2">
      <c r="A235" s="20"/>
      <c r="B235" s="20"/>
      <c r="C235" s="28" t="s">
        <v>684</v>
      </c>
      <c r="D235" s="23" t="s">
        <v>476</v>
      </c>
      <c r="E235" s="27"/>
      <c r="F235" s="94">
        <v>0</v>
      </c>
      <c r="G235" s="123">
        <v>-16.399999999999999</v>
      </c>
      <c r="H235" s="123">
        <v>30.574999999999999</v>
      </c>
      <c r="I235" s="123">
        <v>0</v>
      </c>
      <c r="J235" s="123">
        <v>0</v>
      </c>
      <c r="K235" s="123">
        <v>0</v>
      </c>
      <c r="L235" s="123">
        <v>0</v>
      </c>
      <c r="M235" s="275"/>
    </row>
    <row r="236" spans="1:17" ht="36" x14ac:dyDescent="0.2">
      <c r="A236" s="23" t="s">
        <v>476</v>
      </c>
      <c r="B236" s="28" t="s">
        <v>437</v>
      </c>
      <c r="C236" s="28" t="s">
        <v>1053</v>
      </c>
      <c r="D236" s="23" t="s">
        <v>476</v>
      </c>
      <c r="E236" s="28" t="s">
        <v>440</v>
      </c>
      <c r="F236" s="94"/>
      <c r="G236" s="123">
        <v>0</v>
      </c>
      <c r="H236" s="123">
        <v>4</v>
      </c>
      <c r="I236" s="123"/>
      <c r="J236" s="123"/>
      <c r="K236" s="123"/>
      <c r="L236" s="123"/>
      <c r="M236" s="275"/>
    </row>
    <row r="237" spans="1:17" ht="48" x14ac:dyDescent="0.2">
      <c r="A237" s="23" t="s">
        <v>476</v>
      </c>
      <c r="B237" s="28" t="s">
        <v>437</v>
      </c>
      <c r="C237" s="28" t="s">
        <v>685</v>
      </c>
      <c r="D237" s="23" t="s">
        <v>476</v>
      </c>
      <c r="E237" s="45" t="s">
        <v>443</v>
      </c>
      <c r="F237" s="94">
        <v>0</v>
      </c>
      <c r="G237" s="123">
        <v>-16.5</v>
      </c>
      <c r="H237" s="123">
        <v>26.274999999999999</v>
      </c>
      <c r="I237" s="123">
        <v>0</v>
      </c>
      <c r="J237" s="123">
        <v>0</v>
      </c>
      <c r="K237" s="123">
        <v>0</v>
      </c>
      <c r="L237" s="123">
        <v>0</v>
      </c>
      <c r="M237" s="275"/>
    </row>
    <row r="238" spans="1:17" ht="36" x14ac:dyDescent="0.2">
      <c r="A238" s="23" t="s">
        <v>476</v>
      </c>
      <c r="B238" s="28" t="s">
        <v>437</v>
      </c>
      <c r="C238" s="28" t="s">
        <v>686</v>
      </c>
      <c r="D238" s="23" t="s">
        <v>476</v>
      </c>
      <c r="E238" s="45" t="s">
        <v>2</v>
      </c>
      <c r="F238" s="94">
        <v>0</v>
      </c>
      <c r="G238" s="123">
        <v>0.1</v>
      </c>
      <c r="H238" s="123">
        <v>0.3</v>
      </c>
      <c r="I238" s="123">
        <v>0</v>
      </c>
      <c r="J238" s="123">
        <v>0</v>
      </c>
      <c r="K238" s="123">
        <v>0</v>
      </c>
      <c r="L238" s="123">
        <v>0</v>
      </c>
      <c r="M238" s="275"/>
    </row>
    <row r="239" spans="1:17" ht="108" x14ac:dyDescent="0.2">
      <c r="A239" s="23" t="s">
        <v>476</v>
      </c>
      <c r="B239" s="28" t="s">
        <v>437</v>
      </c>
      <c r="C239" s="28" t="s">
        <v>687</v>
      </c>
      <c r="D239" s="23" t="s">
        <v>476</v>
      </c>
      <c r="E239" s="45" t="s">
        <v>774</v>
      </c>
      <c r="F239" s="94">
        <v>0</v>
      </c>
      <c r="G239" s="123">
        <v>0</v>
      </c>
      <c r="H239" s="123">
        <v>0</v>
      </c>
      <c r="I239" s="123">
        <v>0</v>
      </c>
      <c r="J239" s="123">
        <v>0</v>
      </c>
      <c r="K239" s="123">
        <v>0</v>
      </c>
      <c r="L239" s="123">
        <v>0</v>
      </c>
      <c r="M239" s="275"/>
    </row>
    <row r="240" spans="1:17" ht="12" x14ac:dyDescent="0.2">
      <c r="A240" s="20" t="s">
        <v>788</v>
      </c>
      <c r="B240" s="28"/>
      <c r="C240" s="28"/>
      <c r="D240" s="23"/>
      <c r="E240" s="45"/>
      <c r="F240" s="94"/>
      <c r="G240" s="124"/>
      <c r="H240" s="124"/>
      <c r="I240" s="124"/>
      <c r="J240" s="124"/>
      <c r="K240" s="124"/>
      <c r="L240" s="124"/>
      <c r="M240" s="270"/>
    </row>
    <row r="241" spans="1:17" ht="24" x14ac:dyDescent="0.2">
      <c r="A241" s="20"/>
      <c r="B241" s="20"/>
      <c r="C241" s="28" t="s">
        <v>688</v>
      </c>
      <c r="D241" s="23" t="s">
        <v>344</v>
      </c>
      <c r="E241" s="27"/>
      <c r="F241" s="94">
        <f>113445.95/1000</f>
        <v>113.44595</v>
      </c>
      <c r="G241" s="123">
        <v>133.96799999999999</v>
      </c>
      <c r="H241" s="123">
        <v>154.74299999999999</v>
      </c>
      <c r="I241" s="123">
        <f>I244+I245</f>
        <v>50</v>
      </c>
      <c r="J241" s="123">
        <f t="shared" ref="J241:L241" si="71">J244+J245</f>
        <v>30</v>
      </c>
      <c r="K241" s="123">
        <f t="shared" si="71"/>
        <v>30</v>
      </c>
      <c r="L241" s="123">
        <f t="shared" si="71"/>
        <v>30</v>
      </c>
      <c r="M241" s="270"/>
    </row>
    <row r="242" spans="1:17" ht="36" x14ac:dyDescent="0.2">
      <c r="A242" s="23" t="s">
        <v>344</v>
      </c>
      <c r="B242" s="28" t="s">
        <v>437</v>
      </c>
      <c r="C242" s="28" t="s">
        <v>1054</v>
      </c>
      <c r="D242" s="23" t="s">
        <v>344</v>
      </c>
      <c r="E242" s="28" t="s">
        <v>440</v>
      </c>
      <c r="F242" s="94"/>
      <c r="G242" s="123">
        <v>0</v>
      </c>
      <c r="H242" s="123">
        <v>124.54300000000001</v>
      </c>
      <c r="I242" s="123">
        <v>0</v>
      </c>
      <c r="J242" s="123">
        <v>0</v>
      </c>
      <c r="K242" s="123">
        <v>0</v>
      </c>
      <c r="L242" s="123">
        <v>0</v>
      </c>
      <c r="M242" s="270"/>
    </row>
    <row r="243" spans="1:17" ht="36" x14ac:dyDescent="0.2">
      <c r="A243" s="23" t="s">
        <v>344</v>
      </c>
      <c r="B243" s="28" t="s">
        <v>437</v>
      </c>
      <c r="C243" s="28" t="s">
        <v>1036</v>
      </c>
      <c r="D243" s="23" t="s">
        <v>344</v>
      </c>
      <c r="E243" s="28" t="s">
        <v>2</v>
      </c>
      <c r="F243" s="94"/>
      <c r="G243" s="123">
        <v>4.9950000000000001</v>
      </c>
      <c r="H243" s="123">
        <v>0</v>
      </c>
      <c r="I243" s="123">
        <v>0</v>
      </c>
      <c r="J243" s="123">
        <v>0</v>
      </c>
      <c r="K243" s="123">
        <v>0</v>
      </c>
      <c r="L243" s="123">
        <v>0</v>
      </c>
      <c r="M243" s="270"/>
    </row>
    <row r="244" spans="1:17" ht="108" x14ac:dyDescent="0.2">
      <c r="A244" s="23" t="s">
        <v>344</v>
      </c>
      <c r="B244" s="28" t="s">
        <v>437</v>
      </c>
      <c r="C244" s="28" t="s">
        <v>689</v>
      </c>
      <c r="D244" s="23" t="s">
        <v>344</v>
      </c>
      <c r="E244" s="45" t="s">
        <v>774</v>
      </c>
      <c r="F244" s="94">
        <f>110498.9/1000</f>
        <v>110.49889999999999</v>
      </c>
      <c r="G244" s="123">
        <v>26.311</v>
      </c>
      <c r="H244" s="123">
        <v>30.2</v>
      </c>
      <c r="I244" s="123">
        <v>50</v>
      </c>
      <c r="J244" s="123">
        <v>30</v>
      </c>
      <c r="K244" s="123">
        <v>30</v>
      </c>
      <c r="L244" s="123">
        <v>30</v>
      </c>
      <c r="M244" s="270"/>
    </row>
    <row r="245" spans="1:17" ht="84" x14ac:dyDescent="0.2">
      <c r="A245" s="23" t="s">
        <v>344</v>
      </c>
      <c r="B245" s="28" t="s">
        <v>437</v>
      </c>
      <c r="C245" s="28" t="s">
        <v>789</v>
      </c>
      <c r="D245" s="23" t="s">
        <v>344</v>
      </c>
      <c r="E245" s="28" t="s">
        <v>482</v>
      </c>
      <c r="F245" s="94">
        <f>110498.9/1000</f>
        <v>110.49889999999999</v>
      </c>
      <c r="G245" s="123">
        <v>102.661</v>
      </c>
      <c r="H245" s="123">
        <v>0</v>
      </c>
      <c r="I245" s="123">
        <v>0</v>
      </c>
      <c r="J245" s="123">
        <v>0</v>
      </c>
      <c r="K245" s="123">
        <v>0</v>
      </c>
      <c r="L245" s="123">
        <v>0</v>
      </c>
      <c r="M245" s="270"/>
    </row>
    <row r="246" spans="1:17" ht="24" x14ac:dyDescent="0.2">
      <c r="A246" s="20" t="s">
        <v>351</v>
      </c>
      <c r="B246" s="20"/>
      <c r="C246" s="27"/>
      <c r="D246" s="27"/>
      <c r="E246" s="27"/>
      <c r="F246" s="94">
        <f>10823600/1000</f>
        <v>10823.6</v>
      </c>
      <c r="G246" s="125"/>
      <c r="H246" s="125"/>
      <c r="I246" s="126"/>
      <c r="J246" s="126"/>
      <c r="K246" s="126"/>
      <c r="L246" s="126"/>
      <c r="M246" s="271"/>
    </row>
    <row r="247" spans="1:17" ht="36" x14ac:dyDescent="0.2">
      <c r="A247" s="20"/>
      <c r="B247" s="20"/>
      <c r="C247" s="28" t="s">
        <v>830</v>
      </c>
      <c r="D247" s="23" t="s">
        <v>512</v>
      </c>
      <c r="E247" s="27"/>
      <c r="F247" s="94"/>
      <c r="G247" s="123">
        <f>G248</f>
        <v>12996.4</v>
      </c>
      <c r="H247" s="123">
        <f>H248</f>
        <v>34808</v>
      </c>
      <c r="I247" s="123">
        <f t="shared" ref="I247:L247" si="72">I248</f>
        <v>35934</v>
      </c>
      <c r="J247" s="123">
        <f t="shared" si="72"/>
        <v>4605.8999999999996</v>
      </c>
      <c r="K247" s="123">
        <f t="shared" si="72"/>
        <v>325.7</v>
      </c>
      <c r="L247" s="123">
        <f t="shared" si="72"/>
        <v>0</v>
      </c>
      <c r="M247" s="270"/>
    </row>
    <row r="248" spans="1:17" ht="36" x14ac:dyDescent="0.2">
      <c r="A248" s="23" t="s">
        <v>512</v>
      </c>
      <c r="B248" s="28" t="s">
        <v>437</v>
      </c>
      <c r="C248" s="28" t="s">
        <v>829</v>
      </c>
      <c r="D248" s="23" t="s">
        <v>512</v>
      </c>
      <c r="E248" s="45" t="s">
        <v>2</v>
      </c>
      <c r="F248" s="94"/>
      <c r="G248" s="123">
        <v>12996.4</v>
      </c>
      <c r="H248" s="123">
        <v>34808</v>
      </c>
      <c r="I248" s="123">
        <v>35934</v>
      </c>
      <c r="J248" s="123">
        <v>4605.8999999999996</v>
      </c>
      <c r="K248" s="123">
        <v>325.7</v>
      </c>
      <c r="L248" s="123">
        <v>0</v>
      </c>
      <c r="M248" s="270"/>
    </row>
    <row r="249" spans="1:17" ht="48" x14ac:dyDescent="0.2">
      <c r="A249" s="20"/>
      <c r="B249" s="20"/>
      <c r="C249" s="28" t="s">
        <v>828</v>
      </c>
      <c r="D249" s="23" t="s">
        <v>353</v>
      </c>
      <c r="E249" s="27"/>
      <c r="F249" s="94"/>
      <c r="G249" s="123">
        <f>G250</f>
        <v>126574.3</v>
      </c>
      <c r="H249" s="123">
        <f>H250</f>
        <v>127632.9</v>
      </c>
      <c r="I249" s="123">
        <f>I250</f>
        <v>190513.1</v>
      </c>
      <c r="J249" s="123">
        <f>J250</f>
        <v>0</v>
      </c>
      <c r="K249" s="123">
        <f t="shared" ref="K249:L249" si="73">K250</f>
        <v>0</v>
      </c>
      <c r="L249" s="123">
        <f t="shared" si="73"/>
        <v>0</v>
      </c>
      <c r="M249" s="270"/>
    </row>
    <row r="250" spans="1:17" ht="48" x14ac:dyDescent="0.2">
      <c r="A250" s="23" t="s">
        <v>353</v>
      </c>
      <c r="B250" s="28" t="s">
        <v>437</v>
      </c>
      <c r="C250" s="28" t="s">
        <v>827</v>
      </c>
      <c r="D250" s="23" t="s">
        <v>353</v>
      </c>
      <c r="E250" s="45" t="s">
        <v>2</v>
      </c>
      <c r="F250" s="94"/>
      <c r="G250" s="123">
        <v>126574.3</v>
      </c>
      <c r="H250" s="123">
        <v>127632.9</v>
      </c>
      <c r="I250" s="123">
        <v>190513.1</v>
      </c>
      <c r="J250" s="123">
        <v>0</v>
      </c>
      <c r="K250" s="123">
        <v>0</v>
      </c>
      <c r="L250" s="123">
        <v>0</v>
      </c>
      <c r="M250" s="270"/>
    </row>
    <row r="251" spans="1:17" ht="36" x14ac:dyDescent="0.2">
      <c r="A251" s="20" t="s">
        <v>354</v>
      </c>
      <c r="B251" s="27"/>
      <c r="C251" s="27"/>
      <c r="D251" s="27"/>
      <c r="E251" s="27"/>
      <c r="F251" s="94">
        <f>178331300/1000</f>
        <v>178331.3</v>
      </c>
      <c r="G251" s="125"/>
      <c r="H251" s="125"/>
      <c r="I251" s="126"/>
      <c r="J251" s="126"/>
      <c r="K251" s="126"/>
      <c r="L251" s="126"/>
      <c r="M251" s="271"/>
    </row>
    <row r="252" spans="1:17" ht="48" x14ac:dyDescent="0.2">
      <c r="A252" s="20"/>
      <c r="B252" s="27"/>
      <c r="C252" s="45" t="s">
        <v>826</v>
      </c>
      <c r="D252" s="23" t="s">
        <v>578</v>
      </c>
      <c r="E252" s="27"/>
      <c r="F252" s="94"/>
      <c r="G252" s="123">
        <f>G253</f>
        <v>3199.6</v>
      </c>
      <c r="H252" s="123">
        <f>H253</f>
        <v>0</v>
      </c>
      <c r="I252" s="123">
        <f>I253</f>
        <v>213898.16</v>
      </c>
      <c r="J252" s="123">
        <f t="shared" ref="J252:L252" si="74">J253</f>
        <v>337679.8</v>
      </c>
      <c r="K252" s="123">
        <f t="shared" si="74"/>
        <v>89279</v>
      </c>
      <c r="L252" s="123">
        <f t="shared" si="74"/>
        <v>0</v>
      </c>
      <c r="M252" s="274">
        <f>H252+H256+H258+H260+H254</f>
        <v>93882.281000000003</v>
      </c>
      <c r="N252" s="274">
        <f>I252+I256+I258+I260+I254</f>
        <v>428348.48300000001</v>
      </c>
      <c r="O252" s="274">
        <f>J252+J256+J258+J260+J254</f>
        <v>644319.19999999995</v>
      </c>
      <c r="P252" s="274">
        <f>K252+K256+K258+K260+K254</f>
        <v>421307.8</v>
      </c>
      <c r="Q252" s="274">
        <f>L252+L256+L258+L260+L254</f>
        <v>197111.69999999998</v>
      </c>
    </row>
    <row r="253" spans="1:17" ht="108" x14ac:dyDescent="0.2">
      <c r="A253" s="23" t="s">
        <v>578</v>
      </c>
      <c r="B253" s="28" t="s">
        <v>437</v>
      </c>
      <c r="C253" s="45" t="s">
        <v>1037</v>
      </c>
      <c r="D253" s="23" t="s">
        <v>578</v>
      </c>
      <c r="E253" s="45" t="s">
        <v>774</v>
      </c>
      <c r="F253" s="94"/>
      <c r="G253" s="123">
        <v>3199.6</v>
      </c>
      <c r="H253" s="123">
        <v>0</v>
      </c>
      <c r="I253" s="123">
        <v>213898.16</v>
      </c>
      <c r="J253" s="123">
        <f>16816.8+320863</f>
        <v>337679.8</v>
      </c>
      <c r="K253" s="123">
        <v>89279</v>
      </c>
      <c r="L253" s="123">
        <v>0</v>
      </c>
      <c r="M253" s="270"/>
    </row>
    <row r="254" spans="1:17" ht="84" x14ac:dyDescent="0.2">
      <c r="A254" s="23"/>
      <c r="B254" s="27"/>
      <c r="C254" s="45" t="s">
        <v>1090</v>
      </c>
      <c r="D254" s="23" t="s">
        <v>1089</v>
      </c>
      <c r="E254" s="45"/>
      <c r="F254" s="94"/>
      <c r="G254" s="123">
        <f>G255</f>
        <v>0</v>
      </c>
      <c r="H254" s="123">
        <f t="shared" ref="H254:L254" si="75">H255</f>
        <v>0</v>
      </c>
      <c r="I254" s="123">
        <f t="shared" si="75"/>
        <v>0</v>
      </c>
      <c r="J254" s="123">
        <f t="shared" si="75"/>
        <v>56761.8</v>
      </c>
      <c r="K254" s="123">
        <f t="shared" si="75"/>
        <v>136717.79999999999</v>
      </c>
      <c r="L254" s="123">
        <f t="shared" si="75"/>
        <v>0</v>
      </c>
      <c r="M254" s="270"/>
    </row>
    <row r="255" spans="1:17" ht="108" x14ac:dyDescent="0.2">
      <c r="A255" s="23" t="s">
        <v>1089</v>
      </c>
      <c r="B255" s="28" t="s">
        <v>437</v>
      </c>
      <c r="C255" s="45" t="s">
        <v>1095</v>
      </c>
      <c r="D255" s="23" t="s">
        <v>1089</v>
      </c>
      <c r="E255" s="45" t="s">
        <v>774</v>
      </c>
      <c r="F255" s="94"/>
      <c r="G255" s="123">
        <v>0</v>
      </c>
      <c r="H255" s="123">
        <v>0</v>
      </c>
      <c r="I255" s="123">
        <v>0</v>
      </c>
      <c r="J255" s="123">
        <v>56761.8</v>
      </c>
      <c r="K255" s="123">
        <v>136717.79999999999</v>
      </c>
      <c r="L255" s="123">
        <v>0</v>
      </c>
      <c r="M255" s="270"/>
    </row>
    <row r="256" spans="1:17" ht="36" x14ac:dyDescent="0.2">
      <c r="A256" s="20"/>
      <c r="B256" s="27"/>
      <c r="C256" s="28" t="s">
        <v>825</v>
      </c>
      <c r="D256" s="23" t="s">
        <v>745</v>
      </c>
      <c r="E256" s="27"/>
      <c r="F256" s="94"/>
      <c r="G256" s="123">
        <f>G257</f>
        <v>2819.8110000000001</v>
      </c>
      <c r="H256" s="123">
        <f t="shared" ref="H256:L256" si="76">H257</f>
        <v>8075.2920000000004</v>
      </c>
      <c r="I256" s="123">
        <f t="shared" si="76"/>
        <v>8103.2640000000001</v>
      </c>
      <c r="J256" s="123">
        <f t="shared" si="76"/>
        <v>0</v>
      </c>
      <c r="K256" s="123">
        <f t="shared" si="76"/>
        <v>0</v>
      </c>
      <c r="L256" s="123">
        <f t="shared" si="76"/>
        <v>0</v>
      </c>
      <c r="M256" s="270"/>
    </row>
    <row r="257" spans="1:17" ht="48" x14ac:dyDescent="0.2">
      <c r="A257" s="23" t="s">
        <v>745</v>
      </c>
      <c r="B257" s="28" t="s">
        <v>437</v>
      </c>
      <c r="C257" s="28" t="s">
        <v>824</v>
      </c>
      <c r="D257" s="23" t="s">
        <v>745</v>
      </c>
      <c r="E257" s="28" t="s">
        <v>775</v>
      </c>
      <c r="F257" s="94"/>
      <c r="G257" s="123">
        <v>2819.8110000000001</v>
      </c>
      <c r="H257" s="123">
        <v>8075.2920000000004</v>
      </c>
      <c r="I257" s="123">
        <v>8103.2640000000001</v>
      </c>
      <c r="J257" s="123">
        <v>0</v>
      </c>
      <c r="K257" s="123">
        <v>0</v>
      </c>
      <c r="L257" s="123">
        <v>0</v>
      </c>
      <c r="M257" s="270"/>
    </row>
    <row r="258" spans="1:17" ht="36" x14ac:dyDescent="0.2">
      <c r="A258" s="20"/>
      <c r="B258" s="27"/>
      <c r="C258" s="28" t="s">
        <v>823</v>
      </c>
      <c r="D258" s="23" t="s">
        <v>507</v>
      </c>
      <c r="E258" s="27"/>
      <c r="F258" s="94"/>
      <c r="G258" s="123">
        <f>G259</f>
        <v>82.3</v>
      </c>
      <c r="H258" s="123">
        <f t="shared" ref="H258:L258" si="77">H259</f>
        <v>309.38200000000001</v>
      </c>
      <c r="I258" s="123">
        <f t="shared" si="77"/>
        <v>309.38400000000001</v>
      </c>
      <c r="J258" s="123">
        <f t="shared" si="77"/>
        <v>68.5</v>
      </c>
      <c r="K258" s="123">
        <f t="shared" si="77"/>
        <v>102.6</v>
      </c>
      <c r="L258" s="123">
        <f t="shared" si="77"/>
        <v>102.6</v>
      </c>
      <c r="M258" s="270"/>
    </row>
    <row r="259" spans="1:17" ht="48" x14ac:dyDescent="0.2">
      <c r="A259" s="23" t="s">
        <v>507</v>
      </c>
      <c r="B259" s="28" t="s">
        <v>437</v>
      </c>
      <c r="C259" s="28" t="s">
        <v>822</v>
      </c>
      <c r="D259" s="23" t="s">
        <v>507</v>
      </c>
      <c r="E259" s="28" t="s">
        <v>775</v>
      </c>
      <c r="F259" s="94"/>
      <c r="G259" s="123">
        <v>82.3</v>
      </c>
      <c r="H259" s="123">
        <v>309.38200000000001</v>
      </c>
      <c r="I259" s="123">
        <v>309.38400000000001</v>
      </c>
      <c r="J259" s="123">
        <v>68.5</v>
      </c>
      <c r="K259" s="123">
        <v>102.6</v>
      </c>
      <c r="L259" s="123">
        <v>102.6</v>
      </c>
      <c r="M259" s="270"/>
    </row>
    <row r="260" spans="1:17" ht="24" x14ac:dyDescent="0.2">
      <c r="A260" s="20"/>
      <c r="B260" s="20"/>
      <c r="C260" s="28" t="s">
        <v>821</v>
      </c>
      <c r="D260" s="23" t="s">
        <v>357</v>
      </c>
      <c r="E260" s="27"/>
      <c r="F260" s="94"/>
      <c r="G260" s="123">
        <v>175486.95300000001</v>
      </c>
      <c r="H260" s="123">
        <v>85497.607000000004</v>
      </c>
      <c r="I260" s="123">
        <f>I261+I262+I265+I264+I263</f>
        <v>206037.67499999999</v>
      </c>
      <c r="J260" s="123">
        <f t="shared" ref="J260:L260" si="78">J261+J262+J265+J264+J263</f>
        <v>249809.09999999998</v>
      </c>
      <c r="K260" s="123">
        <f t="shared" si="78"/>
        <v>195208.4</v>
      </c>
      <c r="L260" s="123">
        <f t="shared" si="78"/>
        <v>197009.09999999998</v>
      </c>
      <c r="M260" s="270"/>
    </row>
    <row r="261" spans="1:17" ht="48" x14ac:dyDescent="0.2">
      <c r="A261" s="23" t="s">
        <v>357</v>
      </c>
      <c r="B261" s="28" t="s">
        <v>437</v>
      </c>
      <c r="C261" s="28" t="s">
        <v>820</v>
      </c>
      <c r="D261" s="23" t="s">
        <v>357</v>
      </c>
      <c r="E261" s="28" t="s">
        <v>775</v>
      </c>
      <c r="F261" s="94"/>
      <c r="G261" s="123">
        <v>1299.3979999999999</v>
      </c>
      <c r="H261" s="123">
        <v>237.1</v>
      </c>
      <c r="I261" s="123">
        <v>1127.3440000000001</v>
      </c>
      <c r="J261" s="123">
        <v>7949</v>
      </c>
      <c r="K261" s="123">
        <v>0</v>
      </c>
      <c r="L261" s="123">
        <v>0</v>
      </c>
      <c r="M261" s="270"/>
    </row>
    <row r="262" spans="1:17" ht="36" x14ac:dyDescent="0.2">
      <c r="A262" s="23" t="s">
        <v>357</v>
      </c>
      <c r="B262" s="28" t="s">
        <v>437</v>
      </c>
      <c r="C262" s="28" t="s">
        <v>819</v>
      </c>
      <c r="D262" s="23" t="s">
        <v>357</v>
      </c>
      <c r="E262" s="28" t="s">
        <v>440</v>
      </c>
      <c r="F262" s="94"/>
      <c r="G262" s="123">
        <v>1883.318</v>
      </c>
      <c r="H262" s="123">
        <v>1554.28</v>
      </c>
      <c r="I262" s="123">
        <v>64905.5</v>
      </c>
      <c r="J262" s="123">
        <f>312.3+1578.9+31427.9+8069.2</f>
        <v>41388.299999999996</v>
      </c>
      <c r="K262" s="123">
        <f>312.3+512.8+5332.2</f>
        <v>6157.2999999999993</v>
      </c>
      <c r="L262" s="123">
        <f>312.3+497.3+5332.2</f>
        <v>6141.8</v>
      </c>
      <c r="M262" s="270"/>
    </row>
    <row r="263" spans="1:17" ht="36" x14ac:dyDescent="0.2">
      <c r="A263" s="23" t="s">
        <v>357</v>
      </c>
      <c r="B263" s="28" t="s">
        <v>437</v>
      </c>
      <c r="C263" s="28" t="s">
        <v>818</v>
      </c>
      <c r="D263" s="23" t="s">
        <v>357</v>
      </c>
      <c r="E263" s="45" t="s">
        <v>2</v>
      </c>
      <c r="F263" s="94"/>
      <c r="G263" s="123">
        <v>160498.65</v>
      </c>
      <c r="H263" s="123">
        <v>83706.267000000007</v>
      </c>
      <c r="I263" s="123">
        <v>116442.031</v>
      </c>
      <c r="J263" s="123">
        <f>15000+83865.4+5149.1+96457.3</f>
        <v>200471.8</v>
      </c>
      <c r="K263" s="123">
        <f>15000+77774.5+5149.1+91127.5</f>
        <v>189051.1</v>
      </c>
      <c r="L263" s="123">
        <f>15000+77360.4+5149.1+93357.8</f>
        <v>190867.3</v>
      </c>
      <c r="M263" s="270"/>
    </row>
    <row r="264" spans="1:17" ht="108" x14ac:dyDescent="0.2">
      <c r="A264" s="23" t="s">
        <v>357</v>
      </c>
      <c r="B264" s="28" t="s">
        <v>437</v>
      </c>
      <c r="C264" s="28" t="s">
        <v>817</v>
      </c>
      <c r="D264" s="23" t="s">
        <v>357</v>
      </c>
      <c r="E264" s="45" t="s">
        <v>774</v>
      </c>
      <c r="F264" s="94"/>
      <c r="G264" s="123">
        <v>11567.249</v>
      </c>
      <c r="H264" s="123">
        <v>0</v>
      </c>
      <c r="I264" s="123">
        <v>23562.799999999999</v>
      </c>
      <c r="J264" s="123">
        <v>0</v>
      </c>
      <c r="K264" s="123">
        <v>0</v>
      </c>
      <c r="L264" s="123">
        <v>0</v>
      </c>
      <c r="M264" s="270"/>
    </row>
    <row r="265" spans="1:17" ht="84" x14ac:dyDescent="0.2">
      <c r="A265" s="23" t="s">
        <v>357</v>
      </c>
      <c r="B265" s="28" t="s">
        <v>437</v>
      </c>
      <c r="C265" s="28" t="s">
        <v>816</v>
      </c>
      <c r="D265" s="23" t="s">
        <v>357</v>
      </c>
      <c r="E265" s="45" t="s">
        <v>482</v>
      </c>
      <c r="F265" s="94"/>
      <c r="G265" s="123">
        <v>238.33799999999999</v>
      </c>
      <c r="H265" s="123">
        <v>0</v>
      </c>
      <c r="I265" s="123">
        <v>0</v>
      </c>
      <c r="J265" s="123">
        <v>0</v>
      </c>
      <c r="K265" s="123">
        <v>0</v>
      </c>
      <c r="L265" s="123">
        <v>0</v>
      </c>
      <c r="M265" s="270"/>
    </row>
    <row r="266" spans="1:17" ht="24" x14ac:dyDescent="0.2">
      <c r="A266" s="20" t="s">
        <v>361</v>
      </c>
      <c r="B266" s="20"/>
      <c r="C266" s="27"/>
      <c r="D266" s="27"/>
      <c r="E266" s="27"/>
      <c r="F266" s="94">
        <f>961693173.65/1000</f>
        <v>961693.17365000001</v>
      </c>
      <c r="G266" s="125"/>
      <c r="H266" s="125"/>
      <c r="I266" s="126"/>
      <c r="J266" s="126"/>
      <c r="K266" s="126"/>
      <c r="L266" s="126"/>
      <c r="M266" s="271"/>
    </row>
    <row r="267" spans="1:17" ht="48" x14ac:dyDescent="0.2">
      <c r="A267" s="20"/>
      <c r="B267" s="20"/>
      <c r="C267" s="28" t="s">
        <v>815</v>
      </c>
      <c r="D267" s="23" t="s">
        <v>363</v>
      </c>
      <c r="E267" s="27"/>
      <c r="F267" s="94"/>
      <c r="G267" s="123">
        <f>G268</f>
        <v>69033.7</v>
      </c>
      <c r="H267" s="123">
        <f>H268</f>
        <v>56285.796999999999</v>
      </c>
      <c r="I267" s="123">
        <f t="shared" ref="I267:L267" si="79">I268</f>
        <v>76147.7</v>
      </c>
      <c r="J267" s="123">
        <f t="shared" si="79"/>
        <v>72792.5</v>
      </c>
      <c r="K267" s="123">
        <f t="shared" si="79"/>
        <v>72792.5</v>
      </c>
      <c r="L267" s="123">
        <f t="shared" si="79"/>
        <v>72792.5</v>
      </c>
      <c r="M267" s="274">
        <f>H267+H269+H273+H277+H275</f>
        <v>859299.52500000002</v>
      </c>
      <c r="N267" s="274">
        <f t="shared" ref="N267:P267" si="80">I267+I269+I273+I277+I275</f>
        <v>1219280.2</v>
      </c>
      <c r="O267" s="274">
        <f t="shared" si="80"/>
        <v>1195255.7</v>
      </c>
      <c r="P267" s="274">
        <f t="shared" si="80"/>
        <v>1206841.2</v>
      </c>
      <c r="Q267" s="274">
        <f>L267+L269+L273+L277+L275</f>
        <v>1206941.0999999999</v>
      </c>
    </row>
    <row r="268" spans="1:17" ht="84" x14ac:dyDescent="0.2">
      <c r="A268" s="23" t="s">
        <v>363</v>
      </c>
      <c r="B268" s="28" t="s">
        <v>437</v>
      </c>
      <c r="C268" s="28" t="s">
        <v>814</v>
      </c>
      <c r="D268" s="23" t="s">
        <v>363</v>
      </c>
      <c r="E268" s="45" t="s">
        <v>459</v>
      </c>
      <c r="F268" s="94"/>
      <c r="G268" s="123">
        <v>69033.7</v>
      </c>
      <c r="H268" s="123">
        <v>56285.796999999999</v>
      </c>
      <c r="I268" s="123">
        <v>76147.7</v>
      </c>
      <c r="J268" s="123">
        <v>72792.5</v>
      </c>
      <c r="K268" s="123">
        <v>72792.5</v>
      </c>
      <c r="L268" s="123">
        <v>72792.5</v>
      </c>
      <c r="M268" s="270"/>
    </row>
    <row r="269" spans="1:17" ht="48" x14ac:dyDescent="0.2">
      <c r="A269" s="20"/>
      <c r="B269" s="20"/>
      <c r="C269" s="28" t="s">
        <v>813</v>
      </c>
      <c r="D269" s="23" t="s">
        <v>365</v>
      </c>
      <c r="E269" s="27"/>
      <c r="F269" s="94"/>
      <c r="G269" s="123">
        <v>31513.931</v>
      </c>
      <c r="H269" s="123">
        <v>27811.527999999998</v>
      </c>
      <c r="I269" s="123">
        <f>I270+I271+I272</f>
        <v>42301.7</v>
      </c>
      <c r="J269" s="123">
        <f t="shared" ref="J269:L269" si="81">J270+J271+J272</f>
        <v>45958.3</v>
      </c>
      <c r="K269" s="123">
        <f t="shared" si="81"/>
        <v>58612.5</v>
      </c>
      <c r="L269" s="123">
        <f t="shared" si="81"/>
        <v>58612.5</v>
      </c>
      <c r="M269" s="270"/>
    </row>
    <row r="270" spans="1:17" ht="48" x14ac:dyDescent="0.2">
      <c r="A270" s="23" t="s">
        <v>365</v>
      </c>
      <c r="B270" s="28" t="s">
        <v>437</v>
      </c>
      <c r="C270" s="28" t="s">
        <v>812</v>
      </c>
      <c r="D270" s="23" t="s">
        <v>365</v>
      </c>
      <c r="E270" s="28" t="s">
        <v>440</v>
      </c>
      <c r="F270" s="94"/>
      <c r="G270" s="123">
        <v>23904.1</v>
      </c>
      <c r="H270" s="123">
        <v>21674.1</v>
      </c>
      <c r="I270" s="123">
        <v>34103.199999999997</v>
      </c>
      <c r="J270" s="123">
        <v>37662</v>
      </c>
      <c r="K270" s="123">
        <v>50316.2</v>
      </c>
      <c r="L270" s="123">
        <v>50316.2</v>
      </c>
      <c r="M270" s="270"/>
    </row>
    <row r="271" spans="1:17" ht="48" x14ac:dyDescent="0.2">
      <c r="A271" s="23" t="s">
        <v>365</v>
      </c>
      <c r="B271" s="28" t="s">
        <v>437</v>
      </c>
      <c r="C271" s="28" t="s">
        <v>811</v>
      </c>
      <c r="D271" s="23" t="s">
        <v>365</v>
      </c>
      <c r="E271" s="45" t="s">
        <v>443</v>
      </c>
      <c r="F271" s="94"/>
      <c r="G271" s="123">
        <v>7609.8310000000001</v>
      </c>
      <c r="H271" s="123">
        <v>5662.4279999999999</v>
      </c>
      <c r="I271" s="123">
        <v>7723.5</v>
      </c>
      <c r="J271" s="123">
        <v>7821.3</v>
      </c>
      <c r="K271" s="123">
        <v>7821.3</v>
      </c>
      <c r="L271" s="123">
        <v>7821.3</v>
      </c>
      <c r="M271" s="270"/>
    </row>
    <row r="272" spans="1:17" ht="108" x14ac:dyDescent="0.2">
      <c r="A272" s="23" t="s">
        <v>365</v>
      </c>
      <c r="B272" s="28" t="s">
        <v>437</v>
      </c>
      <c r="C272" s="28" t="s">
        <v>1055</v>
      </c>
      <c r="D272" s="23" t="s">
        <v>365</v>
      </c>
      <c r="E272" s="45" t="s">
        <v>774</v>
      </c>
      <c r="F272" s="94"/>
      <c r="G272" s="123">
        <v>0</v>
      </c>
      <c r="H272" s="123">
        <v>475</v>
      </c>
      <c r="I272" s="123">
        <v>475</v>
      </c>
      <c r="J272" s="123">
        <v>475</v>
      </c>
      <c r="K272" s="123">
        <v>475</v>
      </c>
      <c r="L272" s="123">
        <v>475</v>
      </c>
      <c r="M272" s="270"/>
    </row>
    <row r="273" spans="1:13" ht="72" x14ac:dyDescent="0.2">
      <c r="A273" s="20"/>
      <c r="B273" s="20"/>
      <c r="C273" s="28" t="s">
        <v>810</v>
      </c>
      <c r="D273" s="23" t="s">
        <v>515</v>
      </c>
      <c r="E273" s="27"/>
      <c r="F273" s="94"/>
      <c r="G273" s="123">
        <f>G274</f>
        <v>234.3</v>
      </c>
      <c r="H273" s="123">
        <f>H274</f>
        <v>23.4</v>
      </c>
      <c r="I273" s="123">
        <f t="shared" ref="I273:L273" si="82">I274</f>
        <v>23.4</v>
      </c>
      <c r="J273" s="123">
        <f t="shared" si="82"/>
        <v>74.2</v>
      </c>
      <c r="K273" s="123">
        <f t="shared" si="82"/>
        <v>79.8</v>
      </c>
      <c r="L273" s="123">
        <f t="shared" si="82"/>
        <v>179.7</v>
      </c>
      <c r="M273" s="270"/>
    </row>
    <row r="274" spans="1:13" ht="72" x14ac:dyDescent="0.2">
      <c r="A274" s="23" t="s">
        <v>515</v>
      </c>
      <c r="B274" s="28" t="s">
        <v>437</v>
      </c>
      <c r="C274" s="28" t="s">
        <v>809</v>
      </c>
      <c r="D274" s="23" t="s">
        <v>515</v>
      </c>
      <c r="E274" s="45" t="s">
        <v>443</v>
      </c>
      <c r="F274" s="94"/>
      <c r="G274" s="123">
        <v>234.3</v>
      </c>
      <c r="H274" s="123">
        <v>23.4</v>
      </c>
      <c r="I274" s="123">
        <v>23.4</v>
      </c>
      <c r="J274" s="123">
        <v>74.2</v>
      </c>
      <c r="K274" s="123">
        <v>79.8</v>
      </c>
      <c r="L274" s="123">
        <v>179.7</v>
      </c>
      <c r="M274" s="270"/>
    </row>
    <row r="275" spans="1:13" ht="36" x14ac:dyDescent="0.2">
      <c r="A275" s="23"/>
      <c r="B275" s="28"/>
      <c r="C275" s="28" t="s">
        <v>1092</v>
      </c>
      <c r="D275" s="23" t="s">
        <v>1091</v>
      </c>
      <c r="E275" s="45"/>
      <c r="F275" s="94"/>
      <c r="G275" s="123">
        <f>G276</f>
        <v>0</v>
      </c>
      <c r="H275" s="123">
        <f t="shared" ref="H275:L275" si="83">H276</f>
        <v>0</v>
      </c>
      <c r="I275" s="123">
        <f t="shared" si="83"/>
        <v>0</v>
      </c>
      <c r="J275" s="123">
        <f t="shared" si="83"/>
        <v>1074.3</v>
      </c>
      <c r="K275" s="123">
        <f t="shared" si="83"/>
        <v>0</v>
      </c>
      <c r="L275" s="123">
        <f t="shared" si="83"/>
        <v>0</v>
      </c>
      <c r="M275" s="270"/>
    </row>
    <row r="276" spans="1:13" ht="48" x14ac:dyDescent="0.2">
      <c r="A276" s="23" t="s">
        <v>1091</v>
      </c>
      <c r="B276" s="28" t="s">
        <v>437</v>
      </c>
      <c r="C276" s="28" t="s">
        <v>1093</v>
      </c>
      <c r="D276" s="23" t="s">
        <v>1091</v>
      </c>
      <c r="E276" s="45" t="s">
        <v>443</v>
      </c>
      <c r="F276" s="94"/>
      <c r="G276" s="123">
        <v>0</v>
      </c>
      <c r="H276" s="123">
        <v>0</v>
      </c>
      <c r="I276" s="123">
        <v>0</v>
      </c>
      <c r="J276" s="123">
        <v>1074.3</v>
      </c>
      <c r="K276" s="123">
        <v>0</v>
      </c>
      <c r="L276" s="123">
        <v>0</v>
      </c>
      <c r="M276" s="270"/>
    </row>
    <row r="277" spans="1:13" ht="24" x14ac:dyDescent="0.2">
      <c r="A277" s="20"/>
      <c r="B277" s="20"/>
      <c r="C277" s="28" t="s">
        <v>808</v>
      </c>
      <c r="D277" s="23" t="s">
        <v>375</v>
      </c>
      <c r="E277" s="27"/>
      <c r="F277" s="94"/>
      <c r="G277" s="123">
        <v>1009027</v>
      </c>
      <c r="H277" s="123">
        <f>H278</f>
        <v>775178.8</v>
      </c>
      <c r="I277" s="123">
        <f t="shared" ref="I277:L277" si="84">I278</f>
        <v>1100807.3999999999</v>
      </c>
      <c r="J277" s="123">
        <f t="shared" si="84"/>
        <v>1075356.3999999999</v>
      </c>
      <c r="K277" s="123">
        <f t="shared" si="84"/>
        <v>1075356.3999999999</v>
      </c>
      <c r="L277" s="123">
        <f t="shared" si="84"/>
        <v>1075356.3999999999</v>
      </c>
      <c r="M277" s="270"/>
    </row>
    <row r="278" spans="1:13" ht="36" x14ac:dyDescent="0.2">
      <c r="A278" s="23" t="s">
        <v>375</v>
      </c>
      <c r="B278" s="28" t="s">
        <v>437</v>
      </c>
      <c r="C278" s="28" t="s">
        <v>807</v>
      </c>
      <c r="D278" s="23" t="s">
        <v>375</v>
      </c>
      <c r="E278" s="28" t="s">
        <v>440</v>
      </c>
      <c r="F278" s="94"/>
      <c r="G278" s="123">
        <v>1009027</v>
      </c>
      <c r="H278" s="123">
        <v>775178.8</v>
      </c>
      <c r="I278" s="123">
        <v>1100807.3999999999</v>
      </c>
      <c r="J278" s="123">
        <v>1075356.3999999999</v>
      </c>
      <c r="K278" s="123">
        <v>1075356.3999999999</v>
      </c>
      <c r="L278" s="123">
        <v>1075356.3999999999</v>
      </c>
      <c r="M278" s="270"/>
    </row>
    <row r="279" spans="1:13" ht="12" x14ac:dyDescent="0.2">
      <c r="A279" s="20" t="s">
        <v>377</v>
      </c>
      <c r="B279" s="20"/>
      <c r="C279" s="27"/>
      <c r="D279" s="27"/>
      <c r="E279" s="27"/>
      <c r="F279" s="94">
        <f>10533314.47/1000</f>
        <v>10533.314470000001</v>
      </c>
      <c r="G279" s="125"/>
      <c r="H279" s="125"/>
      <c r="I279" s="126"/>
      <c r="J279" s="126"/>
      <c r="K279" s="126"/>
      <c r="L279" s="126"/>
      <c r="M279" s="271"/>
    </row>
    <row r="280" spans="1:13" ht="84" x14ac:dyDescent="0.2">
      <c r="A280" s="20"/>
      <c r="B280" s="20"/>
      <c r="C280" s="28" t="s">
        <v>806</v>
      </c>
      <c r="D280" s="23" t="s">
        <v>379</v>
      </c>
      <c r="E280" s="27"/>
      <c r="F280" s="94"/>
      <c r="G280" s="123">
        <v>11049.956</v>
      </c>
      <c r="H280" s="123">
        <v>9402.4570000000003</v>
      </c>
      <c r="I280" s="123">
        <f>I281+I282+I283+I284+I285</f>
        <v>12432.986000000001</v>
      </c>
      <c r="J280" s="123">
        <f>J281+J282+J283+J284+J285</f>
        <v>11689.6</v>
      </c>
      <c r="K280" s="123">
        <f t="shared" ref="K280:L280" si="85">K281+K282+K283+K284+K285</f>
        <v>11008.2</v>
      </c>
      <c r="L280" s="123">
        <f t="shared" si="85"/>
        <v>0</v>
      </c>
      <c r="M280" s="270"/>
    </row>
    <row r="281" spans="1:13" ht="84" x14ac:dyDescent="0.2">
      <c r="A281" s="23" t="s">
        <v>379</v>
      </c>
      <c r="B281" s="28" t="s">
        <v>437</v>
      </c>
      <c r="C281" s="28" t="s">
        <v>805</v>
      </c>
      <c r="D281" s="23" t="s">
        <v>379</v>
      </c>
      <c r="E281" s="45" t="s">
        <v>443</v>
      </c>
      <c r="F281" s="94"/>
      <c r="G281" s="123">
        <v>1461.5709999999999</v>
      </c>
      <c r="H281" s="123">
        <v>1032.3800000000001</v>
      </c>
      <c r="I281" s="123">
        <v>1340.6510000000001</v>
      </c>
      <c r="J281" s="123">
        <v>612.20000000000005</v>
      </c>
      <c r="K281" s="123">
        <v>0</v>
      </c>
      <c r="L281" s="123">
        <v>0</v>
      </c>
      <c r="M281" s="270"/>
    </row>
    <row r="282" spans="1:13" ht="84" x14ac:dyDescent="0.2">
      <c r="A282" s="23" t="s">
        <v>379</v>
      </c>
      <c r="B282" s="28" t="s">
        <v>437</v>
      </c>
      <c r="C282" s="28" t="s">
        <v>1038</v>
      </c>
      <c r="D282" s="23" t="s">
        <v>379</v>
      </c>
      <c r="E282" s="45" t="s">
        <v>2</v>
      </c>
      <c r="F282" s="94"/>
      <c r="G282" s="123">
        <v>7755.3010000000004</v>
      </c>
      <c r="H282" s="123">
        <v>7119.2280000000001</v>
      </c>
      <c r="I282" s="123">
        <v>9478.2080000000005</v>
      </c>
      <c r="J282" s="123">
        <v>10206.700000000001</v>
      </c>
      <c r="K282" s="123">
        <v>10206.700000000001</v>
      </c>
      <c r="L282" s="123">
        <v>0</v>
      </c>
      <c r="M282" s="270"/>
    </row>
    <row r="283" spans="1:13" ht="108" x14ac:dyDescent="0.2">
      <c r="A283" s="23" t="s">
        <v>379</v>
      </c>
      <c r="B283" s="28" t="s">
        <v>437</v>
      </c>
      <c r="C283" s="28" t="s">
        <v>1039</v>
      </c>
      <c r="D283" s="23" t="s">
        <v>379</v>
      </c>
      <c r="E283" s="45" t="s">
        <v>774</v>
      </c>
      <c r="F283" s="94"/>
      <c r="G283" s="123">
        <v>198.34800000000001</v>
      </c>
      <c r="H283" s="123">
        <v>147.345</v>
      </c>
      <c r="I283" s="123">
        <v>189.36500000000001</v>
      </c>
      <c r="J283" s="123">
        <v>189.3</v>
      </c>
      <c r="K283" s="123">
        <v>189.3</v>
      </c>
      <c r="L283" s="123">
        <v>0</v>
      </c>
      <c r="M283" s="270"/>
    </row>
    <row r="284" spans="1:13" ht="84" x14ac:dyDescent="0.2">
      <c r="A284" s="23" t="s">
        <v>379</v>
      </c>
      <c r="B284" s="28" t="s">
        <v>437</v>
      </c>
      <c r="C284" s="28" t="s">
        <v>804</v>
      </c>
      <c r="D284" s="23" t="s">
        <v>379</v>
      </c>
      <c r="E284" s="28" t="s">
        <v>450</v>
      </c>
      <c r="F284" s="94"/>
      <c r="G284" s="123">
        <v>1229.4100000000001</v>
      </c>
      <c r="H284" s="123">
        <v>1103.846</v>
      </c>
      <c r="I284" s="123">
        <v>1424.7619999999999</v>
      </c>
      <c r="J284" s="123">
        <v>681.4</v>
      </c>
      <c r="K284" s="123">
        <v>612.20000000000005</v>
      </c>
      <c r="L284" s="123">
        <v>0</v>
      </c>
      <c r="M284" s="270"/>
    </row>
    <row r="285" spans="1:13" ht="96" x14ac:dyDescent="0.2">
      <c r="A285" s="23" t="s">
        <v>379</v>
      </c>
      <c r="B285" s="28" t="s">
        <v>437</v>
      </c>
      <c r="C285" s="28" t="s">
        <v>803</v>
      </c>
      <c r="D285" s="23" t="s">
        <v>379</v>
      </c>
      <c r="E285" s="28" t="s">
        <v>460</v>
      </c>
      <c r="F285" s="94"/>
      <c r="G285" s="123">
        <v>405.32600000000002</v>
      </c>
      <c r="H285" s="123">
        <v>0</v>
      </c>
      <c r="I285" s="123">
        <v>0</v>
      </c>
      <c r="J285" s="123">
        <v>0</v>
      </c>
      <c r="K285" s="123">
        <v>0</v>
      </c>
      <c r="L285" s="123">
        <v>0</v>
      </c>
      <c r="M285" s="270"/>
    </row>
    <row r="286" spans="1:13" ht="36" x14ac:dyDescent="0.2">
      <c r="A286" s="23"/>
      <c r="B286" s="28"/>
      <c r="C286" s="28" t="s">
        <v>1057</v>
      </c>
      <c r="D286" s="23" t="s">
        <v>996</v>
      </c>
      <c r="E286" s="28"/>
      <c r="F286" s="94"/>
      <c r="G286" s="123">
        <f>G287</f>
        <v>0</v>
      </c>
      <c r="H286" s="123">
        <f t="shared" ref="H286:L286" si="86">H287</f>
        <v>4358.4359999999997</v>
      </c>
      <c r="I286" s="123">
        <f t="shared" si="86"/>
        <v>75040.899999999994</v>
      </c>
      <c r="J286" s="123">
        <f t="shared" si="86"/>
        <v>0</v>
      </c>
      <c r="K286" s="123">
        <f t="shared" si="86"/>
        <v>0</v>
      </c>
      <c r="L286" s="123">
        <f t="shared" si="86"/>
        <v>0</v>
      </c>
      <c r="M286" s="270"/>
    </row>
    <row r="287" spans="1:13" ht="36" x14ac:dyDescent="0.2">
      <c r="A287" s="23" t="s">
        <v>996</v>
      </c>
      <c r="B287" s="28" t="s">
        <v>437</v>
      </c>
      <c r="C287" s="28" t="s">
        <v>1056</v>
      </c>
      <c r="D287" s="23" t="s">
        <v>996</v>
      </c>
      <c r="E287" s="28" t="s">
        <v>2</v>
      </c>
      <c r="F287" s="94"/>
      <c r="G287" s="123">
        <v>0</v>
      </c>
      <c r="H287" s="123">
        <v>4358.4359999999997</v>
      </c>
      <c r="I287" s="123">
        <v>75040.899999999994</v>
      </c>
      <c r="J287" s="123">
        <v>0</v>
      </c>
      <c r="K287" s="123">
        <v>0</v>
      </c>
      <c r="L287" s="123">
        <v>0</v>
      </c>
      <c r="M287" s="270"/>
    </row>
    <row r="288" spans="1:13" ht="24" x14ac:dyDescent="0.2">
      <c r="A288" s="20" t="s">
        <v>384</v>
      </c>
      <c r="B288" s="20"/>
      <c r="C288" s="27"/>
      <c r="D288" s="27"/>
      <c r="E288" s="27"/>
      <c r="F288" s="96"/>
      <c r="G288" s="125"/>
      <c r="H288" s="125"/>
      <c r="I288" s="126"/>
      <c r="J288" s="283"/>
      <c r="K288" s="283"/>
      <c r="L288" s="283"/>
      <c r="M288" s="271"/>
    </row>
    <row r="289" spans="1:13" ht="60" x14ac:dyDescent="0.2">
      <c r="A289" s="20"/>
      <c r="B289" s="20"/>
      <c r="C289" s="28" t="s">
        <v>802</v>
      </c>
      <c r="D289" s="23" t="s">
        <v>386</v>
      </c>
      <c r="E289" s="27"/>
      <c r="F289" s="94">
        <f>57406.21/1000</f>
        <v>57.406210000000002</v>
      </c>
      <c r="G289" s="123">
        <f>G290</f>
        <v>7.9</v>
      </c>
      <c r="H289" s="123">
        <f t="shared" ref="H289:L289" si="87">H290</f>
        <v>0.3</v>
      </c>
      <c r="I289" s="123">
        <f t="shared" si="87"/>
        <v>0.3</v>
      </c>
      <c r="J289" s="123">
        <f t="shared" si="87"/>
        <v>0</v>
      </c>
      <c r="K289" s="123">
        <f t="shared" si="87"/>
        <v>0</v>
      </c>
      <c r="L289" s="123">
        <f t="shared" si="87"/>
        <v>0</v>
      </c>
      <c r="M289" s="270"/>
    </row>
    <row r="290" spans="1:13" ht="60" x14ac:dyDescent="0.2">
      <c r="A290" s="23" t="s">
        <v>386</v>
      </c>
      <c r="B290" s="28" t="s">
        <v>437</v>
      </c>
      <c r="C290" s="28" t="s">
        <v>801</v>
      </c>
      <c r="D290" s="23" t="s">
        <v>386</v>
      </c>
      <c r="E290" s="28" t="s">
        <v>440</v>
      </c>
      <c r="F290" s="94">
        <f>57406.21/1000</f>
        <v>57.406210000000002</v>
      </c>
      <c r="G290" s="123">
        <v>7.9</v>
      </c>
      <c r="H290" s="52">
        <v>0.3</v>
      </c>
      <c r="I290" s="123">
        <v>0.3</v>
      </c>
      <c r="J290" s="123">
        <v>0</v>
      </c>
      <c r="K290" s="123">
        <v>0</v>
      </c>
      <c r="L290" s="123">
        <v>0</v>
      </c>
      <c r="M290" s="270"/>
    </row>
    <row r="291" spans="1:13" ht="24" x14ac:dyDescent="0.2">
      <c r="A291" s="23"/>
      <c r="B291" s="28"/>
      <c r="C291" s="28"/>
      <c r="D291" s="23" t="s">
        <v>384</v>
      </c>
      <c r="E291" s="28"/>
      <c r="F291" s="94"/>
      <c r="G291" s="123">
        <v>0</v>
      </c>
      <c r="H291" s="52">
        <v>54.5</v>
      </c>
      <c r="I291" s="123">
        <f>I292+I293+I294</f>
        <v>2526.3200000000002</v>
      </c>
      <c r="J291" s="123">
        <f t="shared" ref="J291:L291" si="88">J292+J293+J294</f>
        <v>0</v>
      </c>
      <c r="K291" s="123">
        <f t="shared" si="88"/>
        <v>0</v>
      </c>
      <c r="L291" s="123">
        <f t="shared" si="88"/>
        <v>0</v>
      </c>
      <c r="M291" s="270"/>
    </row>
    <row r="292" spans="1:13" ht="48" x14ac:dyDescent="0.2">
      <c r="A292" s="23" t="s">
        <v>384</v>
      </c>
      <c r="B292" s="28" t="s">
        <v>437</v>
      </c>
      <c r="C292" s="28" t="s">
        <v>1058</v>
      </c>
      <c r="D292" s="23" t="s">
        <v>384</v>
      </c>
      <c r="E292" s="28" t="s">
        <v>775</v>
      </c>
      <c r="F292" s="94"/>
      <c r="G292" s="123">
        <v>0</v>
      </c>
      <c r="H292" s="52">
        <v>10</v>
      </c>
      <c r="I292" s="123">
        <v>10</v>
      </c>
      <c r="J292" s="123">
        <v>0</v>
      </c>
      <c r="K292" s="123">
        <v>0</v>
      </c>
      <c r="L292" s="123">
        <v>0</v>
      </c>
      <c r="M292" s="270"/>
    </row>
    <row r="293" spans="1:13" ht="36" x14ac:dyDescent="0.2">
      <c r="A293" s="23" t="s">
        <v>384</v>
      </c>
      <c r="B293" s="28" t="s">
        <v>437</v>
      </c>
      <c r="C293" s="28" t="s">
        <v>1059</v>
      </c>
      <c r="D293" s="23" t="s">
        <v>384</v>
      </c>
      <c r="E293" s="28" t="s">
        <v>440</v>
      </c>
      <c r="F293" s="94"/>
      <c r="G293" s="123">
        <v>0</v>
      </c>
      <c r="H293" s="52">
        <v>44.5</v>
      </c>
      <c r="I293" s="123">
        <v>44.5</v>
      </c>
      <c r="J293" s="123">
        <v>0</v>
      </c>
      <c r="K293" s="123">
        <v>0</v>
      </c>
      <c r="L293" s="123">
        <v>0</v>
      </c>
      <c r="M293" s="270"/>
    </row>
    <row r="294" spans="1:13" ht="108" x14ac:dyDescent="0.2">
      <c r="A294" s="23" t="s">
        <v>384</v>
      </c>
      <c r="B294" s="28" t="s">
        <v>437</v>
      </c>
      <c r="C294" s="28" t="s">
        <v>1085</v>
      </c>
      <c r="D294" s="23" t="s">
        <v>384</v>
      </c>
      <c r="E294" s="28" t="s">
        <v>774</v>
      </c>
      <c r="F294" s="94"/>
      <c r="G294" s="123">
        <v>0</v>
      </c>
      <c r="H294" s="52">
        <v>0</v>
      </c>
      <c r="I294" s="123">
        <v>2471.8200000000002</v>
      </c>
      <c r="J294" s="123">
        <v>0</v>
      </c>
      <c r="K294" s="123">
        <v>0</v>
      </c>
      <c r="L294" s="123">
        <v>0</v>
      </c>
      <c r="M294" s="270"/>
    </row>
    <row r="295" spans="1:13" ht="60" x14ac:dyDescent="0.2">
      <c r="A295" s="20" t="s">
        <v>391</v>
      </c>
      <c r="B295" s="20"/>
      <c r="C295" s="27"/>
      <c r="D295" s="27"/>
      <c r="E295" s="27"/>
      <c r="F295" s="94">
        <f>-1254402.66/1000</f>
        <v>-1254.40266</v>
      </c>
      <c r="G295" s="125"/>
      <c r="H295" s="125"/>
      <c r="I295" s="126"/>
      <c r="J295" s="283"/>
      <c r="K295" s="283"/>
      <c r="L295" s="283"/>
      <c r="M295" s="271"/>
    </row>
    <row r="296" spans="1:13" ht="60" x14ac:dyDescent="0.2">
      <c r="A296" s="20"/>
      <c r="B296" s="20"/>
      <c r="C296" s="28" t="s">
        <v>800</v>
      </c>
      <c r="D296" s="23" t="s">
        <v>505</v>
      </c>
      <c r="E296" s="27"/>
      <c r="F296" s="94"/>
      <c r="G296" s="123">
        <v>-18606.339</v>
      </c>
      <c r="H296" s="123">
        <v>-6318.3770000000004</v>
      </c>
      <c r="I296" s="123">
        <f>I298+I299+I300+I301+I303+I302+I304</f>
        <v>-7931.1689999999999</v>
      </c>
      <c r="J296" s="123">
        <v>0</v>
      </c>
      <c r="K296" s="123">
        <v>0</v>
      </c>
      <c r="L296" s="123">
        <v>0</v>
      </c>
      <c r="M296" s="270"/>
    </row>
    <row r="297" spans="1:13" ht="60" x14ac:dyDescent="0.2">
      <c r="A297" s="23" t="s">
        <v>505</v>
      </c>
      <c r="B297" s="28" t="s">
        <v>437</v>
      </c>
      <c r="C297" s="28" t="s">
        <v>1040</v>
      </c>
      <c r="D297" s="23" t="s">
        <v>505</v>
      </c>
      <c r="E297" s="28" t="s">
        <v>775</v>
      </c>
      <c r="F297" s="94"/>
      <c r="G297" s="123">
        <v>-45.402999999999999</v>
      </c>
      <c r="H297" s="123">
        <v>0</v>
      </c>
      <c r="I297" s="123">
        <v>0</v>
      </c>
      <c r="J297" s="123">
        <v>0</v>
      </c>
      <c r="K297" s="123">
        <v>0</v>
      </c>
      <c r="L297" s="123">
        <v>0</v>
      </c>
      <c r="M297" s="270"/>
    </row>
    <row r="298" spans="1:13" ht="60" x14ac:dyDescent="0.2">
      <c r="A298" s="23" t="s">
        <v>505</v>
      </c>
      <c r="B298" s="28" t="s">
        <v>437</v>
      </c>
      <c r="C298" s="28" t="s">
        <v>799</v>
      </c>
      <c r="D298" s="23" t="s">
        <v>505</v>
      </c>
      <c r="E298" s="28" t="s">
        <v>440</v>
      </c>
      <c r="F298" s="94"/>
      <c r="G298" s="123">
        <v>-17904.728999999999</v>
      </c>
      <c r="H298" s="123">
        <v>-4958.0860000000002</v>
      </c>
      <c r="I298" s="123">
        <v>-6570.8770000000004</v>
      </c>
      <c r="J298" s="123">
        <v>0</v>
      </c>
      <c r="K298" s="123">
        <v>0</v>
      </c>
      <c r="L298" s="123">
        <v>0</v>
      </c>
      <c r="M298" s="270"/>
    </row>
    <row r="299" spans="1:13" ht="60" x14ac:dyDescent="0.2">
      <c r="A299" s="23" t="s">
        <v>505</v>
      </c>
      <c r="B299" s="28" t="s">
        <v>437</v>
      </c>
      <c r="C299" s="28" t="s">
        <v>798</v>
      </c>
      <c r="D299" s="23" t="s">
        <v>505</v>
      </c>
      <c r="E299" s="45" t="s">
        <v>443</v>
      </c>
      <c r="F299" s="94"/>
      <c r="G299" s="123">
        <v>-395.63400000000001</v>
      </c>
      <c r="H299" s="123">
        <v>-444.61399999999998</v>
      </c>
      <c r="I299" s="123">
        <v>-444.61399999999998</v>
      </c>
      <c r="J299" s="123">
        <v>0</v>
      </c>
      <c r="K299" s="123">
        <v>0</v>
      </c>
      <c r="L299" s="123">
        <v>0</v>
      </c>
      <c r="M299" s="270"/>
    </row>
    <row r="300" spans="1:13" ht="84" x14ac:dyDescent="0.2">
      <c r="A300" s="23" t="s">
        <v>505</v>
      </c>
      <c r="B300" s="28" t="s">
        <v>437</v>
      </c>
      <c r="C300" s="28" t="s">
        <v>797</v>
      </c>
      <c r="D300" s="23" t="s">
        <v>505</v>
      </c>
      <c r="E300" s="45" t="s">
        <v>459</v>
      </c>
      <c r="F300" s="94"/>
      <c r="G300" s="123">
        <v>-159.86199999999999</v>
      </c>
      <c r="H300" s="123">
        <v>-751.18</v>
      </c>
      <c r="I300" s="123">
        <v>-751.18</v>
      </c>
      <c r="J300" s="123">
        <v>0</v>
      </c>
      <c r="K300" s="123">
        <v>0</v>
      </c>
      <c r="L300" s="123">
        <v>0</v>
      </c>
      <c r="M300" s="270"/>
    </row>
    <row r="301" spans="1:13" ht="60" x14ac:dyDescent="0.2">
      <c r="A301" s="23" t="s">
        <v>505</v>
      </c>
      <c r="B301" s="28" t="s">
        <v>437</v>
      </c>
      <c r="C301" s="28" t="s">
        <v>796</v>
      </c>
      <c r="D301" s="23" t="s">
        <v>505</v>
      </c>
      <c r="E301" s="45" t="s">
        <v>2</v>
      </c>
      <c r="F301" s="94"/>
      <c r="G301" s="123">
        <v>-87.281000000000006</v>
      </c>
      <c r="H301" s="123">
        <v>-96.625</v>
      </c>
      <c r="I301" s="123">
        <v>-96.625</v>
      </c>
      <c r="J301" s="123">
        <v>0</v>
      </c>
      <c r="K301" s="123">
        <v>0</v>
      </c>
      <c r="L301" s="123">
        <v>0</v>
      </c>
      <c r="M301" s="270"/>
    </row>
    <row r="302" spans="1:13" ht="108" x14ac:dyDescent="0.2">
      <c r="A302" s="23" t="s">
        <v>505</v>
      </c>
      <c r="B302" s="28" t="s">
        <v>437</v>
      </c>
      <c r="C302" s="28" t="s">
        <v>1060</v>
      </c>
      <c r="D302" s="23" t="s">
        <v>505</v>
      </c>
      <c r="E302" s="45" t="s">
        <v>774</v>
      </c>
      <c r="F302" s="94"/>
      <c r="G302" s="123">
        <v>0</v>
      </c>
      <c r="H302" s="123">
        <v>-66.186999999999998</v>
      </c>
      <c r="I302" s="123">
        <v>-66.186999999999998</v>
      </c>
      <c r="J302" s="123">
        <v>0</v>
      </c>
      <c r="K302" s="123">
        <v>0</v>
      </c>
      <c r="L302" s="123">
        <v>0</v>
      </c>
      <c r="M302" s="270"/>
    </row>
    <row r="303" spans="1:13" ht="60" x14ac:dyDescent="0.2">
      <c r="A303" s="23" t="s">
        <v>505</v>
      </c>
      <c r="B303" s="28" t="s">
        <v>437</v>
      </c>
      <c r="C303" s="28" t="s">
        <v>795</v>
      </c>
      <c r="D303" s="23" t="s">
        <v>505</v>
      </c>
      <c r="E303" s="28" t="s">
        <v>450</v>
      </c>
      <c r="F303" s="94"/>
      <c r="G303" s="123">
        <v>-13.43</v>
      </c>
      <c r="H303" s="123">
        <v>0</v>
      </c>
      <c r="I303" s="123">
        <v>0</v>
      </c>
      <c r="J303" s="123">
        <v>0</v>
      </c>
      <c r="K303" s="123">
        <v>0</v>
      </c>
      <c r="L303" s="123">
        <v>0</v>
      </c>
      <c r="M303" s="270"/>
    </row>
    <row r="304" spans="1:13" ht="96" x14ac:dyDescent="0.2">
      <c r="A304" s="23" t="s">
        <v>505</v>
      </c>
      <c r="B304" s="28" t="s">
        <v>437</v>
      </c>
      <c r="C304" s="28" t="s">
        <v>1061</v>
      </c>
      <c r="D304" s="23" t="s">
        <v>505</v>
      </c>
      <c r="E304" s="28" t="s">
        <v>460</v>
      </c>
      <c r="F304" s="94"/>
      <c r="G304" s="123">
        <v>0</v>
      </c>
      <c r="H304" s="123">
        <v>-1.6859999999999999</v>
      </c>
      <c r="I304" s="123">
        <v>-1.6859999999999999</v>
      </c>
      <c r="J304" s="123">
        <v>0</v>
      </c>
      <c r="K304" s="123">
        <v>0</v>
      </c>
      <c r="L304" s="123">
        <v>0</v>
      </c>
      <c r="M304" s="270"/>
    </row>
    <row r="305" spans="1:17" ht="12" x14ac:dyDescent="0.2">
      <c r="A305" s="20" t="s">
        <v>392</v>
      </c>
      <c r="B305" s="20"/>
      <c r="C305" s="29"/>
      <c r="D305" s="29"/>
      <c r="E305" s="29"/>
      <c r="F305" s="97">
        <f>1589090643.26/1000</f>
        <v>1589090.64326</v>
      </c>
      <c r="G305" s="240">
        <f>G5+G10+G15+G20+G23+G26+G29+G32+G35+G44+G50+G55+G61+G65+G72+G75+G79+G89+G92+G95+G97+G102+G105+G114+G117+G121+G123+G125+G128+G132+G142+G145+G147+G156+G168+G170+G173+G176+G179+G182+G185+G188+G194+G199+G202+G205+G213+G209+G220+G235+G241+G247+G249+G252+G256+G258+G260+G267+G269+G277+G280+G289+G296+G273+G108+G111+G151+G191+G286+G291</f>
        <v>1954759.7620000003</v>
      </c>
      <c r="H305" s="240">
        <f>H5+H10+H15+H20+H23+H26+H29+H32+H35+H44+H50+H55+H61+H65+H72+H75+H79+H89+H92+H95+H97+H102+H105+H114+H117+H121+H123+H125+H128+H132+H142+H145+H147+H156+H168+H170+H173+H176+H179+H182+H185+H188+H194+H199+H202+H205+H213+H209+H220+H235+H241+H247+H249+H252+H256+H258+H260+H267+H269+H277+H280+H289+H296+H273+H108+H111+H151+H191+H286+H291</f>
        <v>1546069.5829999996</v>
      </c>
      <c r="I305" s="240">
        <f>I5+I10+I15+I20+I23+I26+I29+I32+I35+I44+I50+I55+I61+I65+I72+I75+I79+I89+I92+I95+I97+I102+I83+I105+I114+I117+I121+I123+I125+I128+I132+I142+I145+I147+I156+I168+I170+I173+I176+I179+I182+I185+I188+I194+I199+I202+I205+I213+I209+I220+I235+I241+I247+I249+I252+I256+I258+I260+I267+I269+I277+I280+I289+I296+I273+I108+I111+I151+I191+I286+I291+I154</f>
        <v>2541347.1949999989</v>
      </c>
      <c r="J305" s="240">
        <f>J5+J10+J15+J20+J23+J26+J29+J32+J35+J44+J50+J55+J61+J65+J72+J75+J79+J89+J92+J95+J97+J102+J105+J114+J117+J121+J123+J125+J128+J132+J142+J145+J147+J156+J168+J170+J173+J176+J179+J182+J185+J188+J194+J199+J202+J205+J213+J209+J220+J235+J241+J247+J249+J252+J256+J258+J260+J267+J269+J277+J280+J289+J296+J273+J108+J111+J151+J191+J286+J291+J165+J162+J159+J254+J275+J83</f>
        <v>2453945.8999999994</v>
      </c>
      <c r="K305" s="240">
        <f t="shared" ref="K305:L305" si="89">K5+K10+K15+K20+K23+K26+K29+K32+K35+K44+K50+K55+K61+K65+K72+K75+K79+K89+K92+K95+K97+K102+K105+K114+K117+K121+K123+K125+K128+K132+K142+K145+K147+K156+K168+K170+K173+K176+K179+K182+K185+K188+K194+K199+K202+K205+K213+K209+K220+K235+K241+K247+K249+K252+K256+K258+K260+K267+K269+K277+K280+K289+K296+K273+K108+K111+K151+K191+K286+K291+K165+K162+K159+K254+K275+K83</f>
        <v>2243920.8999999994</v>
      </c>
      <c r="L305" s="240">
        <f t="shared" si="89"/>
        <v>2047814.8999999997</v>
      </c>
      <c r="M305" s="127"/>
    </row>
    <row r="306" spans="1:17" s="36" customFormat="1" ht="157.5" customHeight="1" x14ac:dyDescent="0.2">
      <c r="A306" s="311" t="s">
        <v>1111</v>
      </c>
      <c r="B306" s="311"/>
      <c r="C306" s="311"/>
      <c r="D306" s="311"/>
      <c r="E306" s="311"/>
      <c r="F306" s="98"/>
      <c r="G306" s="127"/>
      <c r="H306" s="127"/>
      <c r="I306" s="127"/>
      <c r="J306" s="127"/>
      <c r="K306" s="127"/>
      <c r="L306" s="127"/>
      <c r="M306" s="127"/>
      <c r="N306" s="241"/>
      <c r="O306" s="242"/>
      <c r="P306" s="243"/>
      <c r="Q306" s="243"/>
    </row>
    <row r="307" spans="1:17" ht="105" customHeight="1" x14ac:dyDescent="0.2">
      <c r="A307" s="56" t="s">
        <v>517</v>
      </c>
      <c r="B307" s="57"/>
      <c r="C307" s="310" t="s">
        <v>1063</v>
      </c>
      <c r="D307" s="310"/>
      <c r="E307" s="54"/>
      <c r="F307" s="98"/>
      <c r="G307" s="127"/>
      <c r="H307" s="127"/>
      <c r="I307" s="127"/>
      <c r="J307" s="127"/>
      <c r="K307" s="127"/>
      <c r="L307" s="127"/>
      <c r="M307" s="127"/>
    </row>
    <row r="308" spans="1:17" ht="17.25" customHeight="1" x14ac:dyDescent="0.2">
      <c r="A308" s="301"/>
      <c r="B308" s="301"/>
      <c r="C308" s="301"/>
      <c r="E308" s="55" t="s">
        <v>516</v>
      </c>
      <c r="F308" s="99" t="e">
        <f>F6+F11+F16+F21+F56+F62+F66+F70+F76+F79+#REF!+F83+F86+F88+F90+F92+#REF!+F97+F105+F114+F117+F119+F121+F123+F128+F132+#REF!+F147+F168+F170+F173+F176+#REF!+F182+F185+F188+F194+F199+F202+F205+F209+F213+F220+F241+F246+F251+F266+F279+#REF!+F289+#REF!+F295</f>
        <v>#REF!</v>
      </c>
      <c r="G308" s="240">
        <v>1954759.781</v>
      </c>
      <c r="H308" s="240">
        <v>1546069.5819999999</v>
      </c>
      <c r="I308" s="240">
        <v>2541347.1874699998</v>
      </c>
      <c r="J308" s="240">
        <v>2453945.9</v>
      </c>
      <c r="K308" s="240">
        <v>2243920.9</v>
      </c>
      <c r="L308" s="240">
        <v>2047814.9</v>
      </c>
      <c r="M308" s="128"/>
    </row>
    <row r="309" spans="1:17" ht="12.75" customHeight="1" x14ac:dyDescent="0.2">
      <c r="F309" s="99" t="e">
        <f>F308-F305</f>
        <v>#REF!</v>
      </c>
      <c r="G309" s="276">
        <f>G308-G305</f>
        <v>1.8999999621883035E-2</v>
      </c>
      <c r="H309" s="276">
        <f>H308-H305</f>
        <v>-9.9999969825148582E-4</v>
      </c>
      <c r="I309" s="276">
        <f>I308-I305</f>
        <v>-7.5299991294741631E-3</v>
      </c>
      <c r="J309" s="276">
        <f t="shared" ref="J309:L309" si="90">J308-J305</f>
        <v>0</v>
      </c>
      <c r="K309" s="276">
        <f t="shared" si="90"/>
        <v>0</v>
      </c>
      <c r="L309" s="276">
        <f t="shared" si="90"/>
        <v>0</v>
      </c>
      <c r="M309" s="128"/>
    </row>
    <row r="310" spans="1:17" ht="12.75" customHeight="1" x14ac:dyDescent="0.2">
      <c r="G310" s="276"/>
      <c r="H310" s="276"/>
      <c r="I310" s="277"/>
      <c r="J310" s="129"/>
      <c r="K310" s="129"/>
      <c r="L310" s="129"/>
      <c r="M310" s="129"/>
    </row>
  </sheetData>
  <mergeCells count="156">
    <mergeCell ref="G86:G87"/>
    <mergeCell ref="A1:K1"/>
    <mergeCell ref="A2:A3"/>
    <mergeCell ref="B2:B3"/>
    <mergeCell ref="C2:D2"/>
    <mergeCell ref="E2:E3"/>
    <mergeCell ref="F2:F3"/>
    <mergeCell ref="H2:H3"/>
    <mergeCell ref="I2:I3"/>
    <mergeCell ref="J2:L2"/>
    <mergeCell ref="G2:G3"/>
    <mergeCell ref="I6:I9"/>
    <mergeCell ref="J6:J9"/>
    <mergeCell ref="K6:K9"/>
    <mergeCell ref="L6:L9"/>
    <mergeCell ref="B11:B14"/>
    <mergeCell ref="C11:C14"/>
    <mergeCell ref="D11:D14"/>
    <mergeCell ref="E11:E14"/>
    <mergeCell ref="F11:F14"/>
    <mergeCell ref="H11:H14"/>
    <mergeCell ref="B6:B9"/>
    <mergeCell ref="C6:C9"/>
    <mergeCell ref="D6:D9"/>
    <mergeCell ref="E6:E9"/>
    <mergeCell ref="F6:F9"/>
    <mergeCell ref="H6:H9"/>
    <mergeCell ref="I11:I14"/>
    <mergeCell ref="J11:J14"/>
    <mergeCell ref="K11:K14"/>
    <mergeCell ref="L11:L14"/>
    <mergeCell ref="G6:G9"/>
    <mergeCell ref="G11:G14"/>
    <mergeCell ref="L16:L19"/>
    <mergeCell ref="B24:B33"/>
    <mergeCell ref="B36:B39"/>
    <mergeCell ref="C36:C39"/>
    <mergeCell ref="D36:D39"/>
    <mergeCell ref="E36:E39"/>
    <mergeCell ref="F36:F39"/>
    <mergeCell ref="H36:H39"/>
    <mergeCell ref="I36:I39"/>
    <mergeCell ref="J36:J39"/>
    <mergeCell ref="K36:K39"/>
    <mergeCell ref="L36:L39"/>
    <mergeCell ref="B16:B19"/>
    <mergeCell ref="C16:C19"/>
    <mergeCell ref="D16:D19"/>
    <mergeCell ref="E16:E19"/>
    <mergeCell ref="F16:F19"/>
    <mergeCell ref="H16:H19"/>
    <mergeCell ref="I16:I19"/>
    <mergeCell ref="J16:J19"/>
    <mergeCell ref="K16:K19"/>
    <mergeCell ref="G16:G19"/>
    <mergeCell ref="G36:G39"/>
    <mergeCell ref="L40:L42"/>
    <mergeCell ref="B45:B47"/>
    <mergeCell ref="C45:C47"/>
    <mergeCell ref="D45:D47"/>
    <mergeCell ref="E45:E47"/>
    <mergeCell ref="F45:F47"/>
    <mergeCell ref="H45:H47"/>
    <mergeCell ref="I45:I47"/>
    <mergeCell ref="J45:J47"/>
    <mergeCell ref="K45:K47"/>
    <mergeCell ref="L45:L47"/>
    <mergeCell ref="B40:B42"/>
    <mergeCell ref="C40:C42"/>
    <mergeCell ref="D40:D42"/>
    <mergeCell ref="E40:E42"/>
    <mergeCell ref="F40:F42"/>
    <mergeCell ref="H40:H42"/>
    <mergeCell ref="I40:I42"/>
    <mergeCell ref="J40:J42"/>
    <mergeCell ref="K40:K42"/>
    <mergeCell ref="G40:G42"/>
    <mergeCell ref="G45:G47"/>
    <mergeCell ref="L51:L53"/>
    <mergeCell ref="B56:B59"/>
    <mergeCell ref="C56:C59"/>
    <mergeCell ref="D56:D59"/>
    <mergeCell ref="E56:E59"/>
    <mergeCell ref="F56:F59"/>
    <mergeCell ref="H56:H59"/>
    <mergeCell ref="I56:I59"/>
    <mergeCell ref="J56:J59"/>
    <mergeCell ref="K56:K59"/>
    <mergeCell ref="L56:L59"/>
    <mergeCell ref="B51:B53"/>
    <mergeCell ref="C51:C53"/>
    <mergeCell ref="D51:D53"/>
    <mergeCell ref="E51:E53"/>
    <mergeCell ref="F51:F53"/>
    <mergeCell ref="H51:H53"/>
    <mergeCell ref="I51:I53"/>
    <mergeCell ref="J51:J53"/>
    <mergeCell ref="K51:K53"/>
    <mergeCell ref="G51:G53"/>
    <mergeCell ref="G56:G59"/>
    <mergeCell ref="L62:L63"/>
    <mergeCell ref="B66:B68"/>
    <mergeCell ref="C66:C68"/>
    <mergeCell ref="D66:D68"/>
    <mergeCell ref="E66:E68"/>
    <mergeCell ref="F66:F68"/>
    <mergeCell ref="H66:H68"/>
    <mergeCell ref="I66:I68"/>
    <mergeCell ref="J66:J68"/>
    <mergeCell ref="K66:K68"/>
    <mergeCell ref="L66:L68"/>
    <mergeCell ref="B62:B63"/>
    <mergeCell ref="C62:C63"/>
    <mergeCell ref="D62:D63"/>
    <mergeCell ref="E62:E63"/>
    <mergeCell ref="F62:F63"/>
    <mergeCell ref="H62:H63"/>
    <mergeCell ref="I62:I63"/>
    <mergeCell ref="J62:J63"/>
    <mergeCell ref="K62:K63"/>
    <mergeCell ref="G62:G63"/>
    <mergeCell ref="G66:G68"/>
    <mergeCell ref="L86:L87"/>
    <mergeCell ref="A308:C308"/>
    <mergeCell ref="H76:H77"/>
    <mergeCell ref="I76:I77"/>
    <mergeCell ref="J76:J77"/>
    <mergeCell ref="K76:K77"/>
    <mergeCell ref="L76:L77"/>
    <mergeCell ref="B86:B87"/>
    <mergeCell ref="C86:C87"/>
    <mergeCell ref="D86:D87"/>
    <mergeCell ref="E86:E87"/>
    <mergeCell ref="F86:F87"/>
    <mergeCell ref="B76:B77"/>
    <mergeCell ref="C76:C77"/>
    <mergeCell ref="D76:D77"/>
    <mergeCell ref="E76:E77"/>
    <mergeCell ref="F76:F77"/>
    <mergeCell ref="H86:H87"/>
    <mergeCell ref="I86:I87"/>
    <mergeCell ref="J86:J87"/>
    <mergeCell ref="K86:K87"/>
    <mergeCell ref="C307:D307"/>
    <mergeCell ref="A306:E306"/>
    <mergeCell ref="G76:G77"/>
    <mergeCell ref="L80:L81"/>
    <mergeCell ref="B80:B81"/>
    <mergeCell ref="C80:C81"/>
    <mergeCell ref="D80:D81"/>
    <mergeCell ref="E80:E81"/>
    <mergeCell ref="G80:G81"/>
    <mergeCell ref="H80:H81"/>
    <mergeCell ref="I80:I81"/>
    <mergeCell ref="J80:J81"/>
    <mergeCell ref="K80:K81"/>
  </mergeCells>
  <pageMargins left="0.19685039370078741" right="0.19685039370078741" top="0.19685039370078741" bottom="0.19685039370078741"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на 01.01.2019г. </vt:lpstr>
      <vt:lpstr>на 01.10.2019г. </vt:lpstr>
      <vt:lpstr>оценка 2019г.</vt:lpstr>
      <vt:lpstr>реестр 2020-2022гг. </vt:lpstr>
      <vt:lpstr>'на 01.01.2019г. '!LAST_CELL</vt:lpstr>
      <vt:lpstr>'на 01.10.2019г. '!LAST_CELL</vt:lpstr>
      <vt:lpstr>'оценка 2019г.'!LAST_CELL</vt:lpstr>
      <vt:lpstr>'реестр 2020-2022гг. '!Заголовки_для_печати</vt:lpstr>
      <vt:lpstr>'реестр 2020-2022гг.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Финуправление</dc:creator>
  <dc:description>POI HSSF rep:2.40.0.76</dc:description>
  <cp:lastModifiedBy>RePack by Diakov</cp:lastModifiedBy>
  <cp:lastPrinted>2019-11-14T08:50:52Z</cp:lastPrinted>
  <dcterms:created xsi:type="dcterms:W3CDTF">2017-04-21T00:40:08Z</dcterms:created>
  <dcterms:modified xsi:type="dcterms:W3CDTF">2019-11-14T08:53:14Z</dcterms:modified>
</cp:coreProperties>
</file>